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ZNoemí.Lupita\Cuenta Publica\2018\07-09 MSF INF TRIM 2018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676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_xlnm.Print_Area" localSheetId="3">'Formato 1'!$A$1:$F$104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</workbook>
</file>

<file path=xl/calcChain.xml><?xml version="1.0" encoding="utf-8"?>
<calcChain xmlns="http://schemas.openxmlformats.org/spreadsheetml/2006/main">
  <c r="C54" i="5" l="1"/>
  <c r="B10" i="8" l="1"/>
  <c r="C10" i="8"/>
  <c r="D10" i="8"/>
  <c r="E10" i="8"/>
  <c r="F10" i="8"/>
  <c r="B137" i="6" l="1"/>
  <c r="C137" i="6"/>
  <c r="D137" i="6"/>
  <c r="E137" i="6"/>
  <c r="F137" i="6"/>
  <c r="B113" i="6"/>
  <c r="B123" i="6"/>
  <c r="B103" i="6"/>
  <c r="G49" i="6"/>
  <c r="G50" i="6"/>
  <c r="G51" i="6"/>
  <c r="G52" i="6"/>
  <c r="G53" i="6"/>
  <c r="G54" i="6"/>
  <c r="G55" i="6"/>
  <c r="B10" i="6"/>
  <c r="C17" i="4"/>
  <c r="G17" i="5"/>
  <c r="G18" i="5"/>
  <c r="B17" i="1"/>
  <c r="B9" i="1"/>
  <c r="C48" i="6"/>
  <c r="E85" i="6"/>
  <c r="B93" i="6"/>
  <c r="C93" i="6"/>
  <c r="D93" i="6"/>
  <c r="E93" i="6"/>
  <c r="F93" i="6"/>
  <c r="B58" i="6"/>
  <c r="C58" i="6"/>
  <c r="D58" i="6"/>
  <c r="E58" i="6"/>
  <c r="F58" i="6"/>
  <c r="G82" i="6" l="1"/>
  <c r="C10" i="6"/>
  <c r="D10" i="6"/>
  <c r="E10" i="6"/>
  <c r="F10" i="6"/>
  <c r="G10" i="7" l="1"/>
  <c r="G11" i="7"/>
  <c r="G12" i="7"/>
  <c r="G13" i="7"/>
  <c r="G14" i="7"/>
  <c r="G15" i="7"/>
  <c r="G16" i="7"/>
  <c r="G17" i="7"/>
  <c r="G11" i="6"/>
  <c r="G12" i="6"/>
  <c r="G13" i="6"/>
  <c r="G14" i="6"/>
  <c r="G15" i="6"/>
  <c r="G16" i="6"/>
  <c r="G17" i="6"/>
  <c r="B35" i="5"/>
  <c r="K10" i="3" l="1"/>
  <c r="Q129" i="24" l="1"/>
  <c r="P129" i="24"/>
  <c r="C62" i="6"/>
  <c r="D62" i="6"/>
  <c r="E62" i="6"/>
  <c r="F62" i="6"/>
  <c r="T55" i="24" s="1"/>
  <c r="B62" i="6"/>
  <c r="B8" i="10"/>
  <c r="P2" i="28" s="1"/>
  <c r="C6" i="23"/>
  <c r="C7" i="23" s="1"/>
  <c r="H25" i="23"/>
  <c r="F5" i="12" s="1"/>
  <c r="G25" i="23"/>
  <c r="F25" i="23"/>
  <c r="E25" i="23"/>
  <c r="C5" i="13" s="1"/>
  <c r="D25" i="23"/>
  <c r="B5" i="12" s="1"/>
  <c r="G30" i="9"/>
  <c r="G31" i="9"/>
  <c r="U23" i="27" s="1"/>
  <c r="G29" i="9"/>
  <c r="G26" i="9"/>
  <c r="G27" i="9"/>
  <c r="G25" i="9"/>
  <c r="U17" i="27" s="1"/>
  <c r="G23" i="9"/>
  <c r="G22" i="9"/>
  <c r="U14" i="27" s="1"/>
  <c r="G19" i="9"/>
  <c r="G18" i="9"/>
  <c r="G16" i="9" s="1"/>
  <c r="U9" i="27" s="1"/>
  <c r="G17" i="9"/>
  <c r="G14" i="9"/>
  <c r="U7" i="27" s="1"/>
  <c r="G15" i="9"/>
  <c r="G13" i="9"/>
  <c r="U6" i="27" s="1"/>
  <c r="G11" i="9"/>
  <c r="G10" i="9"/>
  <c r="U3" i="27" s="1"/>
  <c r="G73" i="8"/>
  <c r="G74" i="8"/>
  <c r="U66" i="26" s="1"/>
  <c r="G75" i="8"/>
  <c r="U67" i="26" s="1"/>
  <c r="G72" i="8"/>
  <c r="U64" i="26" s="1"/>
  <c r="G63" i="8"/>
  <c r="G64" i="8"/>
  <c r="U56" i="26" s="1"/>
  <c r="G65" i="8"/>
  <c r="G66" i="8"/>
  <c r="G67" i="8"/>
  <c r="G68" i="8"/>
  <c r="U60" i="26" s="1"/>
  <c r="G69" i="8"/>
  <c r="G70" i="8"/>
  <c r="U62" i="26" s="1"/>
  <c r="G62" i="8"/>
  <c r="G55" i="8"/>
  <c r="U47" i="26" s="1"/>
  <c r="G56" i="8"/>
  <c r="G57" i="8"/>
  <c r="U49" i="26" s="1"/>
  <c r="G58" i="8"/>
  <c r="U50" i="26" s="1"/>
  <c r="G59" i="8"/>
  <c r="G60" i="8"/>
  <c r="G54" i="8"/>
  <c r="G46" i="8"/>
  <c r="G47" i="8"/>
  <c r="U39" i="26" s="1"/>
  <c r="G48" i="8"/>
  <c r="G49" i="8"/>
  <c r="U41" i="26" s="1"/>
  <c r="G50" i="8"/>
  <c r="G51" i="8"/>
  <c r="G52" i="8"/>
  <c r="G45" i="8"/>
  <c r="G39" i="8"/>
  <c r="G40" i="8"/>
  <c r="G41" i="8"/>
  <c r="G38" i="8"/>
  <c r="U31" i="26" s="1"/>
  <c r="G10" i="8"/>
  <c r="G20" i="8"/>
  <c r="U13" i="26" s="1"/>
  <c r="G21" i="8"/>
  <c r="U14" i="26" s="1"/>
  <c r="G22" i="8"/>
  <c r="G23" i="8"/>
  <c r="G24" i="8"/>
  <c r="U17" i="26" s="1"/>
  <c r="G25" i="8"/>
  <c r="U18" i="26" s="1"/>
  <c r="G26" i="8"/>
  <c r="U19" i="26" s="1"/>
  <c r="G28" i="8"/>
  <c r="G29" i="8"/>
  <c r="U22" i="26" s="1"/>
  <c r="G30" i="8"/>
  <c r="G31" i="8"/>
  <c r="G32" i="8"/>
  <c r="G33" i="8"/>
  <c r="U26" i="26" s="1"/>
  <c r="G34" i="8"/>
  <c r="G35" i="8"/>
  <c r="U28" i="26" s="1"/>
  <c r="G36" i="8"/>
  <c r="G21" i="7"/>
  <c r="G22" i="7"/>
  <c r="G23" i="7"/>
  <c r="G24" i="7"/>
  <c r="G25" i="7"/>
  <c r="G26" i="7"/>
  <c r="G27" i="7"/>
  <c r="G20" i="7"/>
  <c r="B18" i="6"/>
  <c r="B28" i="6"/>
  <c r="P21" i="24" s="1"/>
  <c r="B38" i="6"/>
  <c r="B48" i="6"/>
  <c r="P41" i="24" s="1"/>
  <c r="B71" i="6"/>
  <c r="B75" i="6"/>
  <c r="P68" i="24" s="1"/>
  <c r="G152" i="6"/>
  <c r="G153" i="6"/>
  <c r="U145" i="24" s="1"/>
  <c r="G154" i="6"/>
  <c r="U146" i="24" s="1"/>
  <c r="G155" i="6"/>
  <c r="U147" i="24" s="1"/>
  <c r="G156" i="6"/>
  <c r="G157" i="6"/>
  <c r="U149" i="24" s="1"/>
  <c r="G151" i="6"/>
  <c r="G148" i="6"/>
  <c r="G149" i="6"/>
  <c r="U141" i="24" s="1"/>
  <c r="G147" i="6"/>
  <c r="U139" i="24" s="1"/>
  <c r="G139" i="6"/>
  <c r="G140" i="6"/>
  <c r="U132" i="24" s="1"/>
  <c r="G141" i="6"/>
  <c r="U133" i="24" s="1"/>
  <c r="G142" i="6"/>
  <c r="G143" i="6"/>
  <c r="U135" i="24" s="1"/>
  <c r="G144" i="6"/>
  <c r="U136" i="24" s="1"/>
  <c r="G145" i="6"/>
  <c r="U137" i="24" s="1"/>
  <c r="G138" i="6"/>
  <c r="G135" i="6"/>
  <c r="U127" i="24" s="1"/>
  <c r="G136" i="6"/>
  <c r="U128" i="24" s="1"/>
  <c r="G134" i="6"/>
  <c r="G125" i="6"/>
  <c r="G126" i="6"/>
  <c r="U118" i="24" s="1"/>
  <c r="G127" i="6"/>
  <c r="U119" i="24" s="1"/>
  <c r="G128" i="6"/>
  <c r="U120" i="24" s="1"/>
  <c r="G129" i="6"/>
  <c r="G130" i="6"/>
  <c r="U122" i="24" s="1"/>
  <c r="G131" i="6"/>
  <c r="U123" i="24" s="1"/>
  <c r="G132" i="6"/>
  <c r="U124" i="24" s="1"/>
  <c r="G124" i="6"/>
  <c r="G115" i="6"/>
  <c r="U107" i="24" s="1"/>
  <c r="G116" i="6"/>
  <c r="U108" i="24" s="1"/>
  <c r="G117" i="6"/>
  <c r="U109" i="24" s="1"/>
  <c r="G118" i="6"/>
  <c r="G119" i="6"/>
  <c r="U111" i="24" s="1"/>
  <c r="G120" i="6"/>
  <c r="U112" i="24" s="1"/>
  <c r="G121" i="6"/>
  <c r="U113" i="24" s="1"/>
  <c r="G122" i="6"/>
  <c r="G114" i="6"/>
  <c r="U106" i="24" s="1"/>
  <c r="G105" i="6"/>
  <c r="U97" i="24" s="1"/>
  <c r="G106" i="6"/>
  <c r="G107" i="6"/>
  <c r="G108" i="6"/>
  <c r="U100" i="24" s="1"/>
  <c r="G109" i="6"/>
  <c r="U101" i="24" s="1"/>
  <c r="G110" i="6"/>
  <c r="U102" i="24" s="1"/>
  <c r="G111" i="6"/>
  <c r="U103" i="24" s="1"/>
  <c r="G112" i="6"/>
  <c r="U104" i="24" s="1"/>
  <c r="G104" i="6"/>
  <c r="U96" i="24" s="1"/>
  <c r="G95" i="6"/>
  <c r="U87" i="24" s="1"/>
  <c r="G96" i="6"/>
  <c r="U88" i="24" s="1"/>
  <c r="G97" i="6"/>
  <c r="U89" i="24" s="1"/>
  <c r="G98" i="6"/>
  <c r="G99" i="6"/>
  <c r="U91" i="24" s="1"/>
  <c r="G100" i="6"/>
  <c r="U92" i="24" s="1"/>
  <c r="G101" i="6"/>
  <c r="U93" i="24" s="1"/>
  <c r="G102" i="6"/>
  <c r="U94" i="24" s="1"/>
  <c r="G94" i="6"/>
  <c r="U86" i="24" s="1"/>
  <c r="G87" i="6"/>
  <c r="U79" i="24" s="1"/>
  <c r="G88" i="6"/>
  <c r="G89" i="6"/>
  <c r="U81" i="24" s="1"/>
  <c r="G90" i="6"/>
  <c r="U82" i="24" s="1"/>
  <c r="G91" i="6"/>
  <c r="G92" i="6"/>
  <c r="U84" i="24" s="1"/>
  <c r="G86" i="6"/>
  <c r="G77" i="6"/>
  <c r="G78" i="6"/>
  <c r="G79" i="6"/>
  <c r="G80" i="6"/>
  <c r="G81" i="6"/>
  <c r="U74" i="24" s="1"/>
  <c r="G76" i="6"/>
  <c r="G73" i="6"/>
  <c r="G74" i="6"/>
  <c r="G72" i="6"/>
  <c r="G64" i="6"/>
  <c r="G65" i="6"/>
  <c r="G66" i="6"/>
  <c r="G67" i="6"/>
  <c r="G68" i="6"/>
  <c r="G69" i="6"/>
  <c r="U62" i="24" s="1"/>
  <c r="G70" i="6"/>
  <c r="G63" i="6"/>
  <c r="G60" i="6"/>
  <c r="U53" i="24" s="1"/>
  <c r="G61" i="6"/>
  <c r="G59" i="6"/>
  <c r="U52" i="24" s="1"/>
  <c r="U43" i="24"/>
  <c r="U44" i="24"/>
  <c r="U45" i="24"/>
  <c r="U46" i="24"/>
  <c r="U47" i="24"/>
  <c r="U48" i="24"/>
  <c r="G56" i="6"/>
  <c r="U49" i="24" s="1"/>
  <c r="G57" i="6"/>
  <c r="U50" i="24" s="1"/>
  <c r="U42" i="24"/>
  <c r="G40" i="6"/>
  <c r="U33" i="24" s="1"/>
  <c r="G41" i="6"/>
  <c r="U34" i="24" s="1"/>
  <c r="G42" i="6"/>
  <c r="U35" i="24" s="1"/>
  <c r="G43" i="6"/>
  <c r="U36" i="24" s="1"/>
  <c r="G44" i="6"/>
  <c r="U37" i="24" s="1"/>
  <c r="G45" i="6"/>
  <c r="U38" i="24" s="1"/>
  <c r="G46" i="6"/>
  <c r="U39" i="24" s="1"/>
  <c r="G47" i="6"/>
  <c r="U40" i="24" s="1"/>
  <c r="G39" i="6"/>
  <c r="G30" i="6"/>
  <c r="U23" i="24" s="1"/>
  <c r="G31" i="6"/>
  <c r="U24" i="24" s="1"/>
  <c r="G32" i="6"/>
  <c r="G33" i="6"/>
  <c r="G34" i="6"/>
  <c r="U27" i="24" s="1"/>
  <c r="G35" i="6"/>
  <c r="U28" i="24" s="1"/>
  <c r="G36" i="6"/>
  <c r="G37" i="6"/>
  <c r="U30" i="24" s="1"/>
  <c r="G29" i="6"/>
  <c r="U22" i="24" s="1"/>
  <c r="G20" i="6"/>
  <c r="U13" i="24" s="1"/>
  <c r="G21" i="6"/>
  <c r="G22" i="6"/>
  <c r="G23" i="6"/>
  <c r="U16" i="24" s="1"/>
  <c r="G24" i="6"/>
  <c r="U17" i="24" s="1"/>
  <c r="G25" i="6"/>
  <c r="G26" i="6"/>
  <c r="U19" i="24" s="1"/>
  <c r="G27" i="6"/>
  <c r="U20" i="24" s="1"/>
  <c r="G19" i="6"/>
  <c r="U12" i="24" s="1"/>
  <c r="B7" i="13"/>
  <c r="G10" i="6"/>
  <c r="U3" i="24" s="1"/>
  <c r="G9" i="5"/>
  <c r="G10" i="5"/>
  <c r="G11" i="5"/>
  <c r="G12" i="5"/>
  <c r="U6" i="20" s="1"/>
  <c r="G13" i="5"/>
  <c r="G14" i="5"/>
  <c r="U8" i="20" s="1"/>
  <c r="G15" i="5"/>
  <c r="U9" i="20" s="1"/>
  <c r="U11" i="20"/>
  <c r="G19" i="5"/>
  <c r="G20" i="5"/>
  <c r="U14" i="20" s="1"/>
  <c r="G21" i="5"/>
  <c r="U15" i="20" s="1"/>
  <c r="G22" i="5"/>
  <c r="G23" i="5"/>
  <c r="G24" i="5"/>
  <c r="U18" i="20" s="1"/>
  <c r="G25" i="5"/>
  <c r="U19" i="20" s="1"/>
  <c r="G26" i="5"/>
  <c r="G27" i="5"/>
  <c r="G29" i="5"/>
  <c r="G30" i="5"/>
  <c r="U24" i="20" s="1"/>
  <c r="G31" i="5"/>
  <c r="G32" i="5"/>
  <c r="G33" i="5"/>
  <c r="G34" i="5"/>
  <c r="U28" i="20" s="1"/>
  <c r="G36" i="5"/>
  <c r="G35" i="5" s="1"/>
  <c r="U29" i="20" s="1"/>
  <c r="G38" i="5"/>
  <c r="G37" i="5" s="1"/>
  <c r="U31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R2" i="31" s="1"/>
  <c r="E7" i="13"/>
  <c r="S2" i="31" s="1"/>
  <c r="F7" i="13"/>
  <c r="G7" i="13"/>
  <c r="U2" i="31" s="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P2" i="30" s="1"/>
  <c r="C7" i="12"/>
  <c r="D7" i="12"/>
  <c r="E7" i="12"/>
  <c r="F7" i="12"/>
  <c r="T2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Q2" i="30"/>
  <c r="R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Q2" i="29" s="1"/>
  <c r="D8" i="11"/>
  <c r="E8" i="11"/>
  <c r="F8" i="11"/>
  <c r="F30" i="11" s="1"/>
  <c r="T22" i="29" s="1"/>
  <c r="G8" i="11"/>
  <c r="U2" i="29" s="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D9" i="9" s="1"/>
  <c r="R2" i="27" s="1"/>
  <c r="D16" i="9"/>
  <c r="R9" i="27" s="1"/>
  <c r="E12" i="9"/>
  <c r="S5" i="27" s="1"/>
  <c r="E16" i="9"/>
  <c r="E9" i="9"/>
  <c r="S2" i="27" s="1"/>
  <c r="F12" i="9"/>
  <c r="F16" i="9"/>
  <c r="Q3" i="27"/>
  <c r="R3" i="27"/>
  <c r="S3" i="27"/>
  <c r="T3" i="27"/>
  <c r="Q4" i="27"/>
  <c r="R4" i="27"/>
  <c r="S4" i="27"/>
  <c r="T4" i="27"/>
  <c r="U4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S9" i="27"/>
  <c r="T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Q20" i="27" s="1"/>
  <c r="D24" i="9"/>
  <c r="D28" i="9"/>
  <c r="R20" i="27" s="1"/>
  <c r="E24" i="9"/>
  <c r="S16" i="27" s="1"/>
  <c r="E28" i="9"/>
  <c r="F24" i="9"/>
  <c r="T16" i="27" s="1"/>
  <c r="F28" i="9"/>
  <c r="G28" i="9"/>
  <c r="Q14" i="27"/>
  <c r="R14" i="27"/>
  <c r="S14" i="27"/>
  <c r="T14" i="27"/>
  <c r="Q15" i="27"/>
  <c r="R15" i="27"/>
  <c r="S15" i="27"/>
  <c r="T15" i="27"/>
  <c r="U15" i="27"/>
  <c r="Q16" i="27"/>
  <c r="Q17" i="27"/>
  <c r="R17" i="27"/>
  <c r="S17" i="27"/>
  <c r="T17" i="27"/>
  <c r="Q18" i="27"/>
  <c r="R18" i="27"/>
  <c r="S18" i="27"/>
  <c r="T18" i="27"/>
  <c r="Q19" i="27"/>
  <c r="R19" i="27"/>
  <c r="S19" i="27"/>
  <c r="T19" i="27"/>
  <c r="U19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P14" i="27"/>
  <c r="P15" i="27"/>
  <c r="P16" i="27"/>
  <c r="P17" i="27"/>
  <c r="P18" i="27"/>
  <c r="P19" i="27"/>
  <c r="P20" i="27"/>
  <c r="P21" i="27"/>
  <c r="P22" i="27"/>
  <c r="P23" i="27"/>
  <c r="B9" i="9"/>
  <c r="A5" i="27"/>
  <c r="A4" i="27"/>
  <c r="A3" i="27"/>
  <c r="A2" i="27"/>
  <c r="C19" i="8"/>
  <c r="C27" i="8"/>
  <c r="Q20" i="26" s="1"/>
  <c r="C37" i="8"/>
  <c r="Q30" i="26" s="1"/>
  <c r="D19" i="8"/>
  <c r="R12" i="26" s="1"/>
  <c r="D27" i="8"/>
  <c r="D37" i="8"/>
  <c r="R30" i="26" s="1"/>
  <c r="E19" i="8"/>
  <c r="E27" i="8"/>
  <c r="E37" i="8"/>
  <c r="S30" i="26" s="1"/>
  <c r="F19" i="8"/>
  <c r="F27" i="8"/>
  <c r="F37" i="8"/>
  <c r="T30" i="26" s="1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S12" i="26"/>
  <c r="T12" i="26"/>
  <c r="Q13" i="26"/>
  <c r="R13" i="26"/>
  <c r="S13" i="26"/>
  <c r="T13" i="26"/>
  <c r="Q14" i="26"/>
  <c r="R14" i="26"/>
  <c r="S14" i="26"/>
  <c r="T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Q19" i="26"/>
  <c r="R19" i="26"/>
  <c r="S19" i="26"/>
  <c r="T19" i="26"/>
  <c r="R20" i="26"/>
  <c r="T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U29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U34" i="26"/>
  <c r="C44" i="8"/>
  <c r="C53" i="8"/>
  <c r="C61" i="8"/>
  <c r="Q53" i="26" s="1"/>
  <c r="C71" i="8"/>
  <c r="Q63" i="26" s="1"/>
  <c r="D44" i="8"/>
  <c r="R36" i="26" s="1"/>
  <c r="D53" i="8"/>
  <c r="D61" i="8"/>
  <c r="D43" i="8" s="1"/>
  <c r="R35" i="26" s="1"/>
  <c r="D71" i="8"/>
  <c r="R63" i="26" s="1"/>
  <c r="E44" i="8"/>
  <c r="E53" i="8"/>
  <c r="E61" i="8"/>
  <c r="E71" i="8"/>
  <c r="S63" i="26" s="1"/>
  <c r="F44" i="8"/>
  <c r="F53" i="8"/>
  <c r="T45" i="26" s="1"/>
  <c r="F61" i="8"/>
  <c r="F71" i="8"/>
  <c r="T36" i="26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Q46" i="26"/>
  <c r="R46" i="26"/>
  <c r="S46" i="26"/>
  <c r="T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S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U61" i="26"/>
  <c r="Q62" i="26"/>
  <c r="R62" i="26"/>
  <c r="S62" i="26"/>
  <c r="T62" i="26"/>
  <c r="T63" i="26"/>
  <c r="Q64" i="26"/>
  <c r="R64" i="26"/>
  <c r="S64" i="26"/>
  <c r="T64" i="26"/>
  <c r="Q65" i="26"/>
  <c r="R65" i="26"/>
  <c r="S65" i="26"/>
  <c r="T65" i="26"/>
  <c r="U65" i="26"/>
  <c r="Q66" i="26"/>
  <c r="R66" i="26"/>
  <c r="S66" i="26"/>
  <c r="T66" i="26"/>
  <c r="Q67" i="26"/>
  <c r="R67" i="26"/>
  <c r="S67" i="26"/>
  <c r="T67" i="26"/>
  <c r="B44" i="8"/>
  <c r="P36" i="26" s="1"/>
  <c r="B53" i="8"/>
  <c r="B61" i="8"/>
  <c r="B71" i="8"/>
  <c r="P3" i="26"/>
  <c r="B19" i="8"/>
  <c r="P12" i="26" s="1"/>
  <c r="B27" i="8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U2" i="25" s="1"/>
  <c r="F9" i="7"/>
  <c r="T2" i="25" s="1"/>
  <c r="F19" i="7"/>
  <c r="T3" i="25" s="1"/>
  <c r="E9" i="7"/>
  <c r="S2" i="25" s="1"/>
  <c r="E19" i="7"/>
  <c r="S3" i="25" s="1"/>
  <c r="D9" i="7"/>
  <c r="R2" i="25" s="1"/>
  <c r="D19" i="7"/>
  <c r="R3" i="25" s="1"/>
  <c r="C9" i="7"/>
  <c r="Q2" i="25" s="1"/>
  <c r="C19" i="7"/>
  <c r="Q3" i="25" s="1"/>
  <c r="B9" i="7"/>
  <c r="P2" i="25" s="1"/>
  <c r="B19" i="7"/>
  <c r="P3" i="25" s="1"/>
  <c r="A3" i="25"/>
  <c r="A4" i="25"/>
  <c r="A2" i="25"/>
  <c r="A87" i="24"/>
  <c r="C85" i="6"/>
  <c r="C103" i="6"/>
  <c r="Q95" i="24" s="1"/>
  <c r="C113" i="6"/>
  <c r="Q105" i="24" s="1"/>
  <c r="C123" i="6"/>
  <c r="C133" i="6"/>
  <c r="Q125" i="24" s="1"/>
  <c r="C146" i="6"/>
  <c r="Q138" i="24" s="1"/>
  <c r="C150" i="6"/>
  <c r="Q142" i="24" s="1"/>
  <c r="D85" i="6"/>
  <c r="R77" i="24" s="1"/>
  <c r="D103" i="6"/>
  <c r="R95" i="24" s="1"/>
  <c r="D113" i="6"/>
  <c r="R105" i="24" s="1"/>
  <c r="D123" i="6"/>
  <c r="R115" i="24" s="1"/>
  <c r="D133" i="6"/>
  <c r="D146" i="6"/>
  <c r="R138" i="24" s="1"/>
  <c r="D150" i="6"/>
  <c r="S77" i="24"/>
  <c r="E103" i="6"/>
  <c r="S95" i="24" s="1"/>
  <c r="E113" i="6"/>
  <c r="S105" i="24" s="1"/>
  <c r="E123" i="6"/>
  <c r="S115" i="24" s="1"/>
  <c r="E133" i="6"/>
  <c r="S125" i="24" s="1"/>
  <c r="E146" i="6"/>
  <c r="E150" i="6"/>
  <c r="S142" i="24" s="1"/>
  <c r="F85" i="6"/>
  <c r="T77" i="24" s="1"/>
  <c r="F103" i="6"/>
  <c r="F113" i="6"/>
  <c r="T105" i="24" s="1"/>
  <c r="F123" i="6"/>
  <c r="F133" i="6"/>
  <c r="T125" i="24" s="1"/>
  <c r="F146" i="6"/>
  <c r="T138" i="24" s="1"/>
  <c r="F150" i="6"/>
  <c r="Q78" i="24"/>
  <c r="R78" i="24"/>
  <c r="S78" i="24"/>
  <c r="T78" i="24"/>
  <c r="Q79" i="24"/>
  <c r="R79" i="24"/>
  <c r="S79" i="24"/>
  <c r="T79" i="24"/>
  <c r="Q80" i="24"/>
  <c r="R80" i="24"/>
  <c r="S80" i="24"/>
  <c r="T80" i="24"/>
  <c r="U80" i="24"/>
  <c r="Q81" i="24"/>
  <c r="R81" i="24"/>
  <c r="S81" i="24"/>
  <c r="T81" i="24"/>
  <c r="Q82" i="24"/>
  <c r="R82" i="24"/>
  <c r="S82" i="24"/>
  <c r="T82" i="24"/>
  <c r="Q83" i="24"/>
  <c r="R83" i="24"/>
  <c r="S83" i="24"/>
  <c r="T83" i="24"/>
  <c r="U83" i="24"/>
  <c r="Q84" i="24"/>
  <c r="R84" i="24"/>
  <c r="S84" i="24"/>
  <c r="T84" i="24"/>
  <c r="Q85" i="24"/>
  <c r="R85" i="24"/>
  <c r="S85" i="24"/>
  <c r="T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Q89" i="24"/>
  <c r="R89" i="24"/>
  <c r="S89" i="24"/>
  <c r="T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Q114" i="24"/>
  <c r="R114" i="24"/>
  <c r="S114" i="24"/>
  <c r="T114" i="24"/>
  <c r="U114" i="24"/>
  <c r="Q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R125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S138" i="24"/>
  <c r="Q139" i="24"/>
  <c r="R139" i="24"/>
  <c r="S139" i="24"/>
  <c r="T139" i="24"/>
  <c r="Q140" i="24"/>
  <c r="R140" i="24"/>
  <c r="S140" i="24"/>
  <c r="T140" i="24"/>
  <c r="U140" i="24"/>
  <c r="Q141" i="24"/>
  <c r="R141" i="24"/>
  <c r="S141" i="24"/>
  <c r="T141" i="24"/>
  <c r="R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C18" i="6"/>
  <c r="Q11" i="24" s="1"/>
  <c r="C28" i="6"/>
  <c r="Q21" i="24" s="1"/>
  <c r="C38" i="6"/>
  <c r="Q31" i="24" s="1"/>
  <c r="Q41" i="24"/>
  <c r="C71" i="6"/>
  <c r="Q64" i="24" s="1"/>
  <c r="C75" i="6"/>
  <c r="Q68" i="24" s="1"/>
  <c r="D18" i="6"/>
  <c r="R11" i="24" s="1"/>
  <c r="D28" i="6"/>
  <c r="R21" i="24" s="1"/>
  <c r="D38" i="6"/>
  <c r="R31" i="24" s="1"/>
  <c r="D48" i="6"/>
  <c r="R41" i="24" s="1"/>
  <c r="D71" i="6"/>
  <c r="R64" i="24" s="1"/>
  <c r="D75" i="6"/>
  <c r="S3" i="24"/>
  <c r="E18" i="6"/>
  <c r="S11" i="24" s="1"/>
  <c r="E28" i="6"/>
  <c r="S21" i="24" s="1"/>
  <c r="E38" i="6"/>
  <c r="S31" i="24" s="1"/>
  <c r="E48" i="6"/>
  <c r="S41" i="24" s="1"/>
  <c r="E71" i="6"/>
  <c r="S64" i="24" s="1"/>
  <c r="E75" i="6"/>
  <c r="S68" i="24" s="1"/>
  <c r="F18" i="6"/>
  <c r="T11" i="24" s="1"/>
  <c r="F28" i="6"/>
  <c r="F38" i="6"/>
  <c r="T31" i="24" s="1"/>
  <c r="F48" i="6"/>
  <c r="T41" i="24" s="1"/>
  <c r="F71" i="6"/>
  <c r="F75" i="6"/>
  <c r="T68" i="24" s="1"/>
  <c r="B85" i="6"/>
  <c r="P77" i="24" s="1"/>
  <c r="P85" i="24"/>
  <c r="P95" i="24"/>
  <c r="P105" i="24"/>
  <c r="P115" i="24"/>
  <c r="B133" i="6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2" i="24"/>
  <c r="R12" i="24"/>
  <c r="S12" i="24"/>
  <c r="T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Q28" i="24"/>
  <c r="R28" i="24"/>
  <c r="S28" i="24"/>
  <c r="T28" i="24"/>
  <c r="Q29" i="24"/>
  <c r="R29" i="24"/>
  <c r="S29" i="24"/>
  <c r="T29" i="24"/>
  <c r="U29" i="24"/>
  <c r="Q30" i="24"/>
  <c r="R30" i="24"/>
  <c r="S30" i="24"/>
  <c r="T30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Q36" i="24"/>
  <c r="R36" i="24"/>
  <c r="S36" i="24"/>
  <c r="T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Q50" i="24"/>
  <c r="R50" i="24"/>
  <c r="S50" i="24"/>
  <c r="T50" i="24"/>
  <c r="Q51" i="24"/>
  <c r="R51" i="24"/>
  <c r="S51" i="24"/>
  <c r="T51" i="24"/>
  <c r="Q52" i="24"/>
  <c r="R52" i="24"/>
  <c r="S52" i="24"/>
  <c r="T52" i="24"/>
  <c r="Q53" i="24"/>
  <c r="R53" i="24"/>
  <c r="S53" i="24"/>
  <c r="T53" i="24"/>
  <c r="Q54" i="24"/>
  <c r="R54" i="24"/>
  <c r="S54" i="24"/>
  <c r="T54" i="24"/>
  <c r="U54" i="24"/>
  <c r="Q55" i="24"/>
  <c r="R55" i="24"/>
  <c r="S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R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5" i="20"/>
  <c r="U7" i="20"/>
  <c r="U12" i="20"/>
  <c r="U16" i="20"/>
  <c r="U17" i="20"/>
  <c r="U20" i="20"/>
  <c r="U21" i="20"/>
  <c r="U23" i="20"/>
  <c r="U25" i="20"/>
  <c r="U26" i="20"/>
  <c r="U27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/>
  <c r="G55" i="5"/>
  <c r="U47" i="20" s="1"/>
  <c r="G56" i="5"/>
  <c r="U48" i="20" s="1"/>
  <c r="G57" i="5"/>
  <c r="U49" i="20" s="1"/>
  <c r="G58" i="5"/>
  <c r="U50" i="20" s="1"/>
  <c r="G60" i="5"/>
  <c r="G59" i="5" s="1"/>
  <c r="U51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28" i="5"/>
  <c r="P22" i="20" s="1"/>
  <c r="P29" i="20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E6" i="1" s="1"/>
  <c r="F18" i="23"/>
  <c r="K6" i="3" s="1"/>
  <c r="E18" i="23"/>
  <c r="J6" i="3" s="1"/>
  <c r="D18" i="23"/>
  <c r="I6" i="3" s="1"/>
  <c r="F6" i="1"/>
  <c r="E5" i="13"/>
  <c r="D5" i="13"/>
  <c r="E5" i="12"/>
  <c r="D5" i="12"/>
  <c r="I25" i="23"/>
  <c r="D23" i="23"/>
  <c r="B6" i="11" s="1"/>
  <c r="I23" i="23"/>
  <c r="G6" i="11" s="1"/>
  <c r="H23" i="23"/>
  <c r="F6" i="11" s="1"/>
  <c r="G23" i="23"/>
  <c r="E6" i="11" s="1"/>
  <c r="F23" i="23"/>
  <c r="D6" i="10" s="1"/>
  <c r="E23" i="23"/>
  <c r="C6" i="11" s="1"/>
  <c r="G5" i="13"/>
  <c r="G5" i="12"/>
  <c r="C11" i="23"/>
  <c r="A2" i="11" s="1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1" i="3"/>
  <c r="K12" i="3"/>
  <c r="J8" i="3"/>
  <c r="X3" i="17" s="1"/>
  <c r="H8" i="3"/>
  <c r="V3" i="17" s="1"/>
  <c r="G8" i="3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T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B63" i="4"/>
  <c r="B55" i="4"/>
  <c r="B53" i="4"/>
  <c r="B49" i="4"/>
  <c r="B48" i="4"/>
  <c r="P26" i="18" s="1"/>
  <c r="B37" i="4"/>
  <c r="B44" i="4" s="1"/>
  <c r="B11" i="4" s="1"/>
  <c r="B8" i="4" s="1"/>
  <c r="P2" i="18" s="1"/>
  <c r="B29" i="4"/>
  <c r="P15" i="18" s="1"/>
  <c r="B17" i="4"/>
  <c r="B13" i="4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3" i="18"/>
  <c r="P34" i="18"/>
  <c r="P35" i="18"/>
  <c r="P32" i="18"/>
  <c r="P27" i="18"/>
  <c r="P28" i="18"/>
  <c r="P29" i="18"/>
  <c r="P20" i="18"/>
  <c r="P21" i="18"/>
  <c r="P22" i="18"/>
  <c r="P23" i="18"/>
  <c r="P24" i="18"/>
  <c r="P19" i="18"/>
  <c r="P16" i="18"/>
  <c r="P17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Q76" i="15" s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P67" i="15" s="1"/>
  <c r="E23" i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57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R37" i="18" s="1"/>
  <c r="C68" i="4"/>
  <c r="Q36" i="18" s="1"/>
  <c r="D68" i="4"/>
  <c r="R36" i="18" s="1"/>
  <c r="C64" i="4"/>
  <c r="Q33" i="18" s="1"/>
  <c r="D64" i="4"/>
  <c r="C63" i="4"/>
  <c r="Q32" i="18" s="1"/>
  <c r="D63" i="4"/>
  <c r="R32" i="18" s="1"/>
  <c r="C48" i="4"/>
  <c r="C55" i="4"/>
  <c r="Q31" i="18" s="1"/>
  <c r="D55" i="4"/>
  <c r="R31" i="18" s="1"/>
  <c r="C53" i="4"/>
  <c r="D53" i="4"/>
  <c r="R30" i="18" s="1"/>
  <c r="D48" i="4"/>
  <c r="R26" i="18" s="1"/>
  <c r="C49" i="4"/>
  <c r="Q27" i="18" s="1"/>
  <c r="D49" i="4"/>
  <c r="R27" i="18" s="1"/>
  <c r="C29" i="4"/>
  <c r="D29" i="4"/>
  <c r="C40" i="4"/>
  <c r="Q22" i="18" s="1"/>
  <c r="D40" i="4"/>
  <c r="R22" i="18" s="1"/>
  <c r="C37" i="4"/>
  <c r="Q19" i="18" s="1"/>
  <c r="D37" i="4"/>
  <c r="Q9" i="18"/>
  <c r="C13" i="4"/>
  <c r="Q6" i="18" s="1"/>
  <c r="D13" i="4"/>
  <c r="R6" i="18" s="1"/>
  <c r="C13" i="2"/>
  <c r="Q8" i="16" s="1"/>
  <c r="D13" i="2"/>
  <c r="R8" i="16" s="1"/>
  <c r="E13" i="2"/>
  <c r="S8" i="16" s="1"/>
  <c r="F13" i="2"/>
  <c r="T8" i="16" s="1"/>
  <c r="G13" i="2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P4" i="15"/>
  <c r="Q30" i="18"/>
  <c r="R19" i="18"/>
  <c r="R15" i="18"/>
  <c r="R33" i="18"/>
  <c r="Q15" i="18"/>
  <c r="Q26" i="18"/>
  <c r="Q37" i="18"/>
  <c r="E8" i="2"/>
  <c r="E20" i="2" s="1"/>
  <c r="S13" i="16" s="1"/>
  <c r="Q67" i="15"/>
  <c r="Q77" i="24" l="1"/>
  <c r="C84" i="6"/>
  <c r="G8" i="2"/>
  <c r="R53" i="26"/>
  <c r="F32" i="10"/>
  <c r="T23" i="28" s="1"/>
  <c r="Q2" i="31"/>
  <c r="F43" i="8"/>
  <c r="T35" i="26" s="1"/>
  <c r="C43" i="8"/>
  <c r="Q35" i="26" s="1"/>
  <c r="F9" i="8"/>
  <c r="T2" i="26" s="1"/>
  <c r="R5" i="27"/>
  <c r="T2" i="29"/>
  <c r="G44" i="8"/>
  <c r="U36" i="26" s="1"/>
  <c r="G53" i="8"/>
  <c r="U45" i="26" s="1"/>
  <c r="G61" i="8"/>
  <c r="U53" i="26" s="1"/>
  <c r="G24" i="9"/>
  <c r="U16" i="27" s="1"/>
  <c r="S3" i="16"/>
  <c r="F8" i="2"/>
  <c r="F20" i="2" s="1"/>
  <c r="T13" i="16" s="1"/>
  <c r="B21" i="9"/>
  <c r="P13" i="27" s="1"/>
  <c r="F29" i="13"/>
  <c r="T22" i="31" s="1"/>
  <c r="G71" i="6"/>
  <c r="U64" i="24" s="1"/>
  <c r="E65" i="5"/>
  <c r="S56" i="20" s="1"/>
  <c r="P31" i="20"/>
  <c r="B41" i="5"/>
  <c r="G27" i="8"/>
  <c r="U20" i="26" s="1"/>
  <c r="G146" i="6"/>
  <c r="U138" i="24" s="1"/>
  <c r="G85" i="6"/>
  <c r="U77" i="24" s="1"/>
  <c r="P11" i="24"/>
  <c r="B9" i="6"/>
  <c r="D57" i="4"/>
  <c r="D59" i="4" s="1"/>
  <c r="G20" i="2"/>
  <c r="U13" i="16" s="1"/>
  <c r="U3" i="16"/>
  <c r="D44" i="4"/>
  <c r="G150" i="6"/>
  <c r="U142" i="24" s="1"/>
  <c r="U46" i="26"/>
  <c r="E9" i="8"/>
  <c r="S2" i="26" s="1"/>
  <c r="U18" i="27"/>
  <c r="C21" i="9"/>
  <c r="Q13" i="27" s="1"/>
  <c r="G12" i="9"/>
  <c r="U5" i="27" s="1"/>
  <c r="C30" i="11"/>
  <c r="Q22" i="29" s="1"/>
  <c r="E31" i="12"/>
  <c r="S23" i="30" s="1"/>
  <c r="E29" i="13"/>
  <c r="S22" i="31" s="1"/>
  <c r="G62" i="6"/>
  <c r="U55" i="24" s="1"/>
  <c r="H8" i="2"/>
  <c r="U8" i="16"/>
  <c r="U37" i="26"/>
  <c r="T2" i="31"/>
  <c r="G29" i="13"/>
  <c r="U22" i="31" s="1"/>
  <c r="G137" i="6"/>
  <c r="U129" i="24" s="1"/>
  <c r="G37" i="8"/>
  <c r="U30" i="26" s="1"/>
  <c r="G71" i="8"/>
  <c r="U63" i="26" s="1"/>
  <c r="T3" i="16"/>
  <c r="C8" i="2"/>
  <c r="B43" i="8"/>
  <c r="P35" i="26" s="1"/>
  <c r="F21" i="9"/>
  <c r="T13" i="27" s="1"/>
  <c r="F9" i="9"/>
  <c r="C9" i="9"/>
  <c r="F31" i="12"/>
  <c r="T23" i="30" s="1"/>
  <c r="G123" i="6"/>
  <c r="U115" i="24" s="1"/>
  <c r="G19" i="7"/>
  <c r="U3" i="25" s="1"/>
  <c r="P12" i="15"/>
  <c r="B47" i="1"/>
  <c r="B62" i="1" s="1"/>
  <c r="P54" i="15" s="1"/>
  <c r="G133" i="6"/>
  <c r="U125" i="24" s="1"/>
  <c r="G93" i="6"/>
  <c r="U85" i="24" s="1"/>
  <c r="G103" i="6"/>
  <c r="U95" i="24" s="1"/>
  <c r="U90" i="24"/>
  <c r="U78" i="24"/>
  <c r="G113" i="6"/>
  <c r="U105" i="24" s="1"/>
  <c r="D84" i="6"/>
  <c r="R76" i="24" s="1"/>
  <c r="G58" i="6"/>
  <c r="U51" i="24" s="1"/>
  <c r="G28" i="6"/>
  <c r="U21" i="24" s="1"/>
  <c r="G18" i="6"/>
  <c r="U11" i="24" s="1"/>
  <c r="B6" i="10"/>
  <c r="F5" i="13"/>
  <c r="G75" i="6"/>
  <c r="U68" i="24" s="1"/>
  <c r="G48" i="6"/>
  <c r="U41" i="24" s="1"/>
  <c r="G38" i="6"/>
  <c r="U31" i="24" s="1"/>
  <c r="U15" i="24"/>
  <c r="B57" i="4"/>
  <c r="B59" i="4" s="1"/>
  <c r="B5" i="13"/>
  <c r="J20" i="3"/>
  <c r="X5" i="17" s="1"/>
  <c r="E6" i="10"/>
  <c r="B6" i="1"/>
  <c r="S14" i="16"/>
  <c r="G20" i="3"/>
  <c r="U5" i="17" s="1"/>
  <c r="A2" i="9"/>
  <c r="A2" i="4"/>
  <c r="A2" i="5"/>
  <c r="A2" i="1"/>
  <c r="A2" i="8"/>
  <c r="A2" i="7"/>
  <c r="A2" i="2"/>
  <c r="A2" i="3"/>
  <c r="B29" i="13"/>
  <c r="P22" i="31" s="1"/>
  <c r="D29" i="13"/>
  <c r="R22" i="31" s="1"/>
  <c r="G31" i="12"/>
  <c r="U23" i="30" s="1"/>
  <c r="D31" i="12"/>
  <c r="R23" i="30" s="1"/>
  <c r="B31" i="12"/>
  <c r="P23" i="30" s="1"/>
  <c r="C31" i="12"/>
  <c r="Q23" i="30" s="1"/>
  <c r="U2" i="30"/>
  <c r="S2" i="30"/>
  <c r="G30" i="11"/>
  <c r="U22" i="29" s="1"/>
  <c r="D30" i="11"/>
  <c r="R22" i="29" s="1"/>
  <c r="B30" i="11"/>
  <c r="P22" i="29" s="1"/>
  <c r="Q12" i="29"/>
  <c r="E30" i="11"/>
  <c r="S22" i="29" s="1"/>
  <c r="S2" i="29"/>
  <c r="R2" i="29"/>
  <c r="E32" i="10"/>
  <c r="S23" i="28" s="1"/>
  <c r="C32" i="10"/>
  <c r="Q23" i="28" s="1"/>
  <c r="G32" i="10"/>
  <c r="U23" i="28" s="1"/>
  <c r="D32" i="10"/>
  <c r="R23" i="28" s="1"/>
  <c r="S15" i="28"/>
  <c r="B32" i="10"/>
  <c r="P23" i="28" s="1"/>
  <c r="D21" i="9"/>
  <c r="R13" i="27" s="1"/>
  <c r="E21" i="9"/>
  <c r="E33" i="9" s="1"/>
  <c r="S24" i="27" s="1"/>
  <c r="G21" i="9"/>
  <c r="U13" i="27" s="1"/>
  <c r="R16" i="27"/>
  <c r="B33" i="9"/>
  <c r="P24" i="27" s="1"/>
  <c r="T2" i="27"/>
  <c r="Q2" i="27"/>
  <c r="C33" i="9"/>
  <c r="Q24" i="27" s="1"/>
  <c r="T5" i="27"/>
  <c r="G9" i="9"/>
  <c r="U2" i="27" s="1"/>
  <c r="P2" i="27"/>
  <c r="E43" i="8"/>
  <c r="S35" i="26" s="1"/>
  <c r="P45" i="26"/>
  <c r="S36" i="26"/>
  <c r="G43" i="8"/>
  <c r="U35" i="26" s="1"/>
  <c r="Q36" i="26"/>
  <c r="B9" i="8"/>
  <c r="U33" i="26"/>
  <c r="D9" i="8"/>
  <c r="R2" i="26" s="1"/>
  <c r="C9" i="8"/>
  <c r="C77" i="8" s="1"/>
  <c r="Q68" i="26" s="1"/>
  <c r="S20" i="26"/>
  <c r="G19" i="8"/>
  <c r="F77" i="8"/>
  <c r="T68" i="26" s="1"/>
  <c r="E84" i="6"/>
  <c r="S76" i="24" s="1"/>
  <c r="F84" i="6"/>
  <c r="T76" i="24" s="1"/>
  <c r="U98" i="24"/>
  <c r="T95" i="24"/>
  <c r="B84" i="6"/>
  <c r="P76" i="24" s="1"/>
  <c r="Q76" i="24"/>
  <c r="U70" i="24"/>
  <c r="U67" i="24"/>
  <c r="U58" i="24"/>
  <c r="C9" i="6"/>
  <c r="Q2" i="24" s="1"/>
  <c r="F9" i="6"/>
  <c r="P31" i="24"/>
  <c r="U32" i="24"/>
  <c r="U26" i="24"/>
  <c r="E9" i="6"/>
  <c r="T21" i="24"/>
  <c r="D9" i="6"/>
  <c r="B65" i="5"/>
  <c r="P56" i="20" s="1"/>
  <c r="F65" i="5"/>
  <c r="T56" i="20" s="1"/>
  <c r="E41" i="5"/>
  <c r="D41" i="5"/>
  <c r="R34" i="20" s="1"/>
  <c r="C41" i="5"/>
  <c r="Q34" i="20" s="1"/>
  <c r="P37" i="20"/>
  <c r="C65" i="5"/>
  <c r="Q56" i="20" s="1"/>
  <c r="U52" i="20"/>
  <c r="D65" i="5"/>
  <c r="R56" i="20" s="1"/>
  <c r="U58" i="20"/>
  <c r="G75" i="5"/>
  <c r="U62" i="20" s="1"/>
  <c r="G54" i="5"/>
  <c r="U46" i="20" s="1"/>
  <c r="G45" i="5"/>
  <c r="F41" i="5"/>
  <c r="S22" i="20"/>
  <c r="G16" i="5"/>
  <c r="U10" i="20" s="1"/>
  <c r="P10" i="20"/>
  <c r="C72" i="4"/>
  <c r="C74" i="4" s="1"/>
  <c r="Q39" i="18" s="1"/>
  <c r="C44" i="4"/>
  <c r="B21" i="4"/>
  <c r="P12" i="18" s="1"/>
  <c r="P5" i="18"/>
  <c r="P25" i="18"/>
  <c r="C57" i="4"/>
  <c r="C59" i="4" s="1"/>
  <c r="P30" i="18"/>
  <c r="B72" i="4"/>
  <c r="B74" i="4" s="1"/>
  <c r="P39" i="18" s="1"/>
  <c r="D72" i="4"/>
  <c r="D8" i="2"/>
  <c r="B8" i="2"/>
  <c r="P26" i="15"/>
  <c r="A2" i="12"/>
  <c r="A2" i="10"/>
  <c r="A2" i="6"/>
  <c r="C6" i="10"/>
  <c r="G6" i="10"/>
  <c r="C5" i="12"/>
  <c r="I20" i="3"/>
  <c r="W5" i="17" s="1"/>
  <c r="A2" i="13"/>
  <c r="F6" i="10"/>
  <c r="D6" i="11"/>
  <c r="B29" i="7"/>
  <c r="P4" i="25" s="1"/>
  <c r="F29" i="7"/>
  <c r="T4" i="25" s="1"/>
  <c r="G28" i="5"/>
  <c r="U22" i="20" s="1"/>
  <c r="U13" i="20"/>
  <c r="U4" i="20"/>
  <c r="U3" i="17"/>
  <c r="W3" i="17"/>
  <c r="C29" i="7"/>
  <c r="Q4" i="25" s="1"/>
  <c r="K14" i="3"/>
  <c r="Y4" i="17" s="1"/>
  <c r="K8" i="3"/>
  <c r="Y3" i="17" s="1"/>
  <c r="E20" i="3"/>
  <c r="S5" i="17" s="1"/>
  <c r="F47" i="1"/>
  <c r="F59" i="1" s="1"/>
  <c r="Q104" i="15" s="1"/>
  <c r="E47" i="1"/>
  <c r="E59" i="1" s="1"/>
  <c r="H20" i="3"/>
  <c r="V5" i="17" s="1"/>
  <c r="D29" i="7"/>
  <c r="R4" i="25" s="1"/>
  <c r="E29" i="7"/>
  <c r="S4" i="25" s="1"/>
  <c r="E79" i="1"/>
  <c r="P119" i="15" s="1"/>
  <c r="F79" i="1"/>
  <c r="Q119" i="15" s="1"/>
  <c r="P106" i="15"/>
  <c r="C47" i="1"/>
  <c r="Q42" i="15" s="1"/>
  <c r="Q4" i="15"/>
  <c r="B159" i="6" l="1"/>
  <c r="B70" i="5"/>
  <c r="P34" i="20"/>
  <c r="S34" i="20"/>
  <c r="E70" i="5"/>
  <c r="F33" i="9"/>
  <c r="T24" i="27" s="1"/>
  <c r="B77" i="8"/>
  <c r="P68" i="26" s="1"/>
  <c r="D77" i="8"/>
  <c r="R68" i="26" s="1"/>
  <c r="G29" i="7"/>
  <c r="U4" i="25" s="1"/>
  <c r="C20" i="2"/>
  <c r="Q13" i="16" s="1"/>
  <c r="Q3" i="16"/>
  <c r="D11" i="4"/>
  <c r="R25" i="18"/>
  <c r="V3" i="16"/>
  <c r="H20" i="2"/>
  <c r="V13" i="16" s="1"/>
  <c r="P2" i="24"/>
  <c r="P150" i="24"/>
  <c r="Q2" i="26"/>
  <c r="G84" i="6"/>
  <c r="U76" i="24" s="1"/>
  <c r="E159" i="6"/>
  <c r="S150" i="24" s="1"/>
  <c r="G9" i="6"/>
  <c r="U2" i="24" s="1"/>
  <c r="B23" i="4"/>
  <c r="P13" i="18" s="1"/>
  <c r="S13" i="27"/>
  <c r="D33" i="9"/>
  <c r="R24" i="27" s="1"/>
  <c r="G33" i="9"/>
  <c r="U24" i="27" s="1"/>
  <c r="E77" i="8"/>
  <c r="S68" i="26" s="1"/>
  <c r="P2" i="26"/>
  <c r="G9" i="8"/>
  <c r="U12" i="26"/>
  <c r="F159" i="6"/>
  <c r="T150" i="24" s="1"/>
  <c r="C159" i="6"/>
  <c r="Q150" i="24" s="1"/>
  <c r="T2" i="24"/>
  <c r="S2" i="24"/>
  <c r="R2" i="24"/>
  <c r="D159" i="6"/>
  <c r="R150" i="24" s="1"/>
  <c r="C70" i="5"/>
  <c r="D70" i="5"/>
  <c r="U37" i="20"/>
  <c r="G65" i="5"/>
  <c r="U56" i="20" s="1"/>
  <c r="T34" i="20"/>
  <c r="F70" i="5"/>
  <c r="Q38" i="18"/>
  <c r="P38" i="18"/>
  <c r="Q25" i="18"/>
  <c r="C11" i="4"/>
  <c r="R38" i="18"/>
  <c r="D74" i="4"/>
  <c r="R39" i="18" s="1"/>
  <c r="D20" i="2"/>
  <c r="R13" i="16" s="1"/>
  <c r="R3" i="16"/>
  <c r="B20" i="2"/>
  <c r="P13" i="16" s="1"/>
  <c r="P3" i="16"/>
  <c r="C62" i="1"/>
  <c r="Q54" i="15" s="1"/>
  <c r="G41" i="5"/>
  <c r="G42" i="5" s="1"/>
  <c r="U35" i="20" s="1"/>
  <c r="K20" i="3"/>
  <c r="Y5" i="17" s="1"/>
  <c r="Q95" i="15"/>
  <c r="P95" i="15"/>
  <c r="F81" i="1"/>
  <c r="Q120" i="15" s="1"/>
  <c r="P104" i="15"/>
  <c r="E81" i="1"/>
  <c r="P120" i="15" s="1"/>
  <c r="P42" i="15"/>
  <c r="R5" i="18" l="1"/>
  <c r="D8" i="4"/>
  <c r="G159" i="6"/>
  <c r="U150" i="24" s="1"/>
  <c r="B25" i="4"/>
  <c r="B33" i="4" s="1"/>
  <c r="P18" i="18" s="1"/>
  <c r="U2" i="26"/>
  <c r="G77" i="8"/>
  <c r="U68" i="26" s="1"/>
  <c r="C8" i="4"/>
  <c r="C21" i="4" s="1"/>
  <c r="Q5" i="18"/>
  <c r="G70" i="5"/>
  <c r="U34" i="20"/>
  <c r="R2" i="18" l="1"/>
  <c r="D21" i="4"/>
  <c r="P14" i="18"/>
  <c r="Q2" i="18"/>
  <c r="D23" i="4" l="1"/>
  <c r="D25" i="4" s="1"/>
  <c r="R12" i="18"/>
  <c r="Q12" i="18"/>
  <c r="C23" i="4"/>
  <c r="R13" i="18" l="1"/>
  <c r="C25" i="4"/>
  <c r="Q13" i="18"/>
  <c r="R14" i="18" l="1"/>
  <c r="D33" i="4"/>
  <c r="R18" i="18" s="1"/>
  <c r="C33" i="4"/>
  <c r="Q18" i="18" s="1"/>
  <c r="Q14" i="18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<sst xmlns="http://schemas.openxmlformats.org/spreadsheetml/2006/main" count="4243" uniqueCount="3305">
  <si>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</si>
  <si>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</si>
  <si>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</si>
  <si>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</si>
  <si>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</si>
  <si>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</si>
  <si>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</si>
  <si>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</si>
  <si>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</si>
  <si>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</si>
  <si>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</si>
  <si>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</si>
  <si>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</si>
  <si>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</si>
  <si>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</si>
  <si>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</si>
  <si>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</si>
  <si>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</si>
  <si>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</si>
  <si>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</si>
  <si>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</si>
  <si>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</si>
  <si>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</si>
  <si>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</si>
  <si>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</si>
  <si>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</si>
  <si>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</si>
  <si>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</si>
  <si>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</si>
  <si>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</si>
  <si>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</si>
  <si>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</si>
  <si>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</si>
  <si>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</si>
  <si>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</si>
  <si>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</si>
  <si>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</si>
  <si>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</si>
  <si>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</si>
  <si>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</si>
  <si>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</si>
  <si>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</si>
  <si>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</si>
  <si>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</si>
  <si>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</si>
  <si>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</si>
  <si>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</si>
  <si>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</si>
  <si>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</si>
  <si>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</si>
  <si>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</si>
  <si>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</si>
  <si>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</si>
  <si>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</si>
  <si>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</si>
  <si>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</si>
  <si>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</si>
  <si>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</si>
  <si>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</si>
  <si>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</si>
  <si>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</si>
  <si>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</si>
  <si>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</si>
  <si>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</si>
  <si>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</si>
  <si>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</si>
  <si>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</si>
  <si>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</si>
  <si>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</si>
  <si>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</si>
  <si>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</si>
  <si>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</si>
  <si>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</si>
  <si>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</si>
  <si>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</si>
  <si>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</si>
  <si>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</si>
  <si>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</si>
  <si>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</si>
  <si>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</si>
  <si>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</si>
  <si>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</si>
  <si>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</si>
  <si>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</si>
  <si>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</si>
  <si>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</si>
  <si>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</si>
  <si>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</si>
  <si>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</si>
  <si>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</si>
  <si>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</si>
  <si>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</si>
  <si>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</si>
  <si>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</si>
  <si>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</si>
  <si>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</si>
  <si>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</si>
  <si>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</si>
  <si>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</si>
  <si>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</si>
  <si>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</si>
  <si>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</si>
  <si>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</si>
  <si>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</si>
  <si>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</si>
  <si>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</si>
  <si>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</si>
  <si>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</si>
  <si>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</si>
  <si>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</si>
  <si>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</si>
  <si>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</si>
  <si>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</si>
  <si>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</si>
  <si>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</si>
  <si>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</si>
  <si>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</si>
  <si>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</si>
  <si>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</si>
  <si>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</si>
  <si>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</si>
  <si>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</si>
  <si>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</si>
  <si>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</si>
  <si>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</si>
  <si>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</si>
  <si>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</si>
  <si>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</si>
  <si>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</si>
  <si>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</si>
  <si>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</si>
  <si>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</si>
  <si>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</si>
  <si>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</si>
  <si>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</si>
  <si>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</si>
  <si>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</si>
  <si>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</si>
  <si>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</si>
  <si>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</si>
  <si>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</si>
  <si>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</si>
  <si>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</si>
  <si>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</si>
  <si>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</si>
  <si>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</si>
  <si>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</si>
  <si>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</si>
  <si>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</si>
  <si>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</si>
  <si>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</si>
  <si>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</si>
  <si>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</si>
  <si>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</si>
  <si>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</si>
  <si>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</si>
  <si>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</si>
  <si>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</si>
  <si>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</si>
  <si>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</si>
  <si>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</si>
  <si>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</si>
  <si>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</si>
  <si>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</si>
  <si>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</si>
  <si>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</si>
  <si>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</si>
  <si>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</si>
  <si>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</si>
  <si>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</si>
  <si>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</si>
  <si>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</si>
  <si>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</si>
  <si>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</si>
  <si>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</si>
  <si>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</si>
  <si>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</si>
  <si>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</si>
  <si>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</si>
  <si>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</si>
  <si>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</si>
  <si>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</si>
  <si>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</si>
  <si>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</si>
  <si>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</si>
  <si>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</si>
  <si>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</si>
  <si>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</si>
  <si>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</si>
  <si>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</si>
  <si>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</si>
  <si>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</si>
  <si>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</si>
  <si>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</si>
  <si>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</si>
  <si>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</si>
  <si>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</si>
  <si>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</si>
  <si>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</si>
  <si>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</si>
  <si>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</si>
  <si>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</si>
  <si>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</si>
  <si>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</si>
  <si>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</si>
  <si>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</si>
  <si>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</si>
  <si>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</si>
  <si>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</si>
  <si>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</si>
  <si>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</si>
  <si>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</si>
  <si>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</si>
  <si>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</si>
  <si>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</si>
  <si>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</si>
  <si>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</si>
  <si>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</si>
  <si>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</si>
  <si>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</si>
  <si>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</si>
  <si>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</si>
  <si>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</si>
  <si>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</si>
  <si>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</si>
  <si>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</si>
  <si>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</si>
  <si>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</si>
  <si>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</si>
  <si>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</si>
  <si>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</si>
  <si>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</si>
  <si>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</si>
  <si>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</si>
  <si>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</si>
  <si>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</si>
  <si>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</si>
  <si>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</si>
  <si>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</si>
  <si>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</si>
  <si>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</si>
  <si>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</si>
  <si>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</si>
  <si>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</si>
  <si>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</si>
  <si>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</si>
  <si>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</si>
  <si>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</si>
  <si>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</si>
  <si>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</si>
  <si>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</si>
  <si>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</si>
  <si>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</si>
  <si>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</si>
  <si>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</si>
  <si>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</si>
  <si>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</si>
  <si>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</si>
  <si>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</si>
  <si>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</si>
  <si>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</si>
  <si>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</si>
  <si>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</si>
  <si>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</si>
  <si>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</si>
  <si>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</si>
  <si>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</si>
  <si>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</si>
  <si>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</si>
  <si>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</si>
  <si>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</si>
  <si>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</si>
  <si>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</si>
  <si>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</si>
  <si>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</si>
  <si>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</si>
  <si>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</si>
  <si>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</si>
  <si>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</si>
  <si>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</si>
  <si>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</si>
  <si>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</si>
  <si>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</si>
  <si>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</si>
  <si>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</si>
  <si>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</si>
  <si>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</si>
  <si>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</si>
  <si>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</si>
  <si>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</si>
  <si>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</si>
  <si>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</si>
  <si>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</si>
  <si>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</si>
  <si>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</si>
  <si>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</si>
  <si>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</si>
  <si>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</si>
  <si>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</si>
  <si>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</si>
  <si>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</si>
  <si>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</si>
  <si>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</si>
  <si>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</si>
  <si>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</si>
  <si>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</si>
  <si>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</si>
  <si>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</si>
  <si>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</si>
  <si>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</si>
  <si>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</si>
  <si>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</si>
  <si>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</si>
  <si>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</si>
  <si>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</si>
  <si>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</si>
  <si>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</si>
  <si>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</si>
  <si>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</si>
  <si>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</si>
  <si>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</si>
  <si>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</si>
  <si>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</si>
  <si>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</si>
  <si>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</si>
  <si>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</si>
  <si>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</si>
  <si>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</si>
  <si>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</si>
  <si>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</si>
  <si>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</si>
  <si>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</si>
  <si>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</si>
  <si>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</si>
  <si>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</si>
  <si>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</si>
  <si>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</si>
  <si>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</si>
  <si>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</si>
  <si>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</si>
  <si>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</si>
  <si>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</si>
  <si>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</si>
  <si>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</si>
  <si>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</si>
  <si>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</si>
  <si>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</si>
  <si>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</si>
  <si>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</si>
  <si>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</si>
  <si>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</si>
  <si>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</si>
  <si>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</si>
  <si>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</si>
  <si>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</si>
  <si>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</si>
  <si>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</si>
  <si>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</si>
  <si>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</si>
  <si>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</si>
  <si>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</si>
  <si>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</si>
  <si>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</si>
  <si>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</si>
  <si>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</si>
  <si>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</si>
  <si>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</si>
  <si>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</si>
  <si>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</si>
  <si>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</si>
  <si>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</si>
  <si>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</si>
  <si>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</si>
  <si>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</si>
  <si>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</si>
  <si>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</si>
  <si>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</si>
  <si>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</si>
  <si>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</si>
  <si>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</si>
  <si>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</si>
  <si>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</si>
  <si>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</si>
  <si>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</si>
  <si>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</si>
  <si>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</si>
  <si>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</si>
  <si>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</si>
  <si>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</si>
  <si>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</si>
  <si>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</si>
  <si>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</si>
  <si>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</si>
  <si>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</si>
  <si>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</si>
  <si>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</si>
  <si>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</si>
  <si>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</si>
  <si>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</si>
  <si>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</si>
  <si>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</si>
  <si>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</si>
  <si>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</si>
  <si>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</si>
  <si>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</si>
  <si>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</si>
  <si>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</si>
  <si>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</si>
  <si>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</si>
  <si>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</si>
  <si>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</si>
  <si>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</si>
  <si>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</si>
  <si>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</si>
  <si>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</si>
  <si>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</si>
  <si>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</si>
  <si>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</si>
  <si>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</si>
  <si>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</si>
  <si>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</si>
  <si>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</si>
  <si>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</si>
  <si>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</si>
  <si>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</si>
  <si>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</si>
  <si>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</si>
  <si>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</si>
  <si>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</si>
  <si>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</si>
  <si>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</si>
  <si>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</si>
  <si>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</si>
  <si>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</si>
  <si>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</si>
  <si>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</si>
  <si>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</si>
  <si>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</si>
  <si>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</si>
  <si>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</si>
  <si>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</si>
  <si>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</si>
  <si>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</si>
  <si>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</si>
  <si>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</si>
  <si>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</si>
  <si>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</si>
  <si>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</si>
  <si>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</si>
  <si>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</si>
  <si>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</si>
  <si>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</si>
  <si>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</si>
  <si>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</si>
  <si>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</si>
  <si>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</si>
  <si>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</si>
  <si>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</si>
  <si>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</si>
  <si>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</si>
  <si>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</si>
  <si>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</si>
  <si>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</si>
  <si>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</si>
  <si>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</si>
  <si>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</si>
  <si>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</si>
  <si>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</si>
  <si>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</si>
  <si>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</si>
  <si>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</si>
  <si>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</si>
  <si>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</si>
  <si>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</si>
  <si>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</si>
  <si>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</si>
  <si>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</si>
  <si>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</si>
  <si>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</si>
  <si>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</si>
  <si>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</si>
  <si>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</si>
  <si>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</si>
  <si>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</si>
  <si>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</si>
  <si>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</si>
  <si>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</si>
  <si>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</si>
  <si>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</si>
  <si>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</si>
  <si>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</si>
  <si>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</si>
  <si>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</si>
  <si>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</si>
  <si>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</si>
  <si>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</si>
  <si>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</si>
  <si>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</si>
  <si>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</si>
  <si>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</si>
  <si>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</si>
  <si>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</si>
  <si>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</si>
  <si>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</si>
  <si>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</si>
  <si>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</si>
  <si>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</si>
  <si>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</si>
  <si>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</si>
  <si>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</si>
  <si>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</si>
  <si>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</si>
  <si>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</si>
  <si>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</si>
  <si>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</si>
  <si>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</si>
  <si>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</si>
  <si>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</si>
  <si>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</si>
  <si>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</si>
  <si>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</si>
  <si>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</si>
  <si>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</si>
  <si>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</si>
  <si>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</si>
  <si>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</si>
  <si>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</si>
  <si>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</si>
  <si>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</si>
  <si>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</si>
  <si>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</si>
  <si>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</si>
  <si>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</si>
  <si>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</si>
  <si>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</si>
  <si>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</si>
  <si>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</si>
  <si>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</si>
  <si>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</si>
  <si>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</si>
  <si>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</si>
  <si>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</si>
  <si>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</si>
  <si>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</si>
  <si>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</si>
  <si>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</si>
  <si>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</si>
  <si>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</si>
  <si>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</si>
  <si>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</si>
  <si>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</si>
  <si>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</si>
  <si>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</si>
  <si>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</si>
  <si>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</si>
  <si>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</si>
  <si>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</si>
  <si>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</si>
  <si>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</si>
  <si>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</si>
  <si>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</si>
  <si>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</si>
  <si>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</si>
  <si>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</si>
  <si>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</si>
  <si>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</si>
  <si>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</si>
  <si>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</si>
  <si>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</si>
  <si>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</si>
  <si>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</si>
  <si>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</si>
  <si>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</si>
  <si>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</si>
  <si>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</si>
  <si>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</si>
  <si>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</si>
  <si>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</si>
  <si>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</si>
  <si>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</si>
  <si>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</si>
  <si>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</si>
  <si>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</si>
  <si>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</si>
  <si>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</si>
  <si>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</si>
  <si>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</si>
  <si>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</si>
  <si>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</si>
  <si>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</si>
  <si>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</si>
  <si>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</si>
  <si>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</si>
  <si>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</si>
  <si>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</si>
  <si>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</si>
  <si>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</si>
  <si>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</si>
  <si>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</si>
  <si>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</si>
  <si>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</si>
  <si>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</si>
  <si>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</si>
  <si>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</si>
  <si>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</si>
  <si>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</si>
  <si>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</si>
  <si>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</si>
  <si>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</si>
  <si>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</si>
  <si>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</si>
  <si>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</si>
  <si>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</si>
  <si>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</si>
  <si>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</si>
  <si>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</si>
  <si>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</si>
  <si>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</si>
  <si>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</si>
  <si>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</si>
  <si>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</si>
  <si>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</si>
  <si>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</si>
  <si>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</si>
  <si>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</si>
  <si>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</si>
  <si>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</si>
  <si>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</si>
  <si>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</si>
  <si>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</si>
  <si>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</si>
  <si>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</si>
  <si>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</si>
  <si>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</si>
  <si>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</si>
  <si>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</si>
  <si>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</si>
  <si>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</si>
  <si>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</si>
  <si>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</si>
  <si>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</si>
  <si>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</si>
  <si>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</si>
  <si>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</si>
  <si>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</si>
  <si>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</si>
  <si>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</si>
  <si>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</si>
  <si>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</si>
  <si>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</si>
  <si>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</si>
  <si>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</si>
  <si>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</si>
  <si>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</si>
  <si>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</si>
  <si>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</si>
  <si>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</si>
  <si>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</si>
  <si>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</si>
  <si>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</si>
  <si>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</si>
  <si>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</si>
  <si>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</si>
  <si>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</si>
  <si>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</si>
  <si>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</si>
  <si>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</si>
  <si>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</si>
  <si>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</si>
  <si>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</si>
  <si>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</si>
  <si>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</si>
  <si>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</si>
  <si>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</si>
  <si>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</si>
  <si>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</si>
  <si>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</si>
  <si>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</si>
  <si>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</si>
  <si>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</si>
  <si>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</si>
  <si>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</si>
  <si>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</si>
  <si>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</si>
  <si>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</si>
  <si>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</si>
  <si>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</si>
  <si>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</si>
  <si>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</si>
  <si>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</si>
  <si>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</si>
  <si>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</si>
  <si>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</si>
  <si>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</si>
  <si>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</si>
  <si>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</si>
  <si>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</si>
  <si>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</si>
  <si>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</si>
  <si>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</si>
  <si>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</si>
  <si>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</si>
  <si>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</si>
  <si>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</si>
  <si>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</si>
  <si>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</si>
  <si>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</si>
  <si>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</si>
  <si>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</si>
  <si>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</si>
  <si>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</si>
  <si>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</si>
  <si>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</si>
  <si>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</si>
  <si>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</si>
  <si>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</si>
  <si>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</si>
  <si>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</si>
  <si>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</si>
  <si>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</si>
  <si>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</si>
  <si>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</si>
  <si>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</si>
  <si>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</si>
  <si>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</si>
  <si>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</si>
  <si>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</si>
  <si>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</si>
  <si>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</si>
  <si>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</si>
  <si>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</si>
  <si>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</si>
  <si>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</si>
  <si>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</si>
  <si>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</si>
  <si>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</si>
  <si>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</si>
  <si>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</si>
  <si>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</si>
  <si>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</si>
  <si>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</si>
  <si>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</si>
  <si>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</si>
  <si>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</si>
  <si>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</si>
  <si>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</si>
  <si>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</si>
  <si>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</si>
  <si>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</si>
  <si>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</si>
  <si>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</si>
  <si>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</si>
  <si>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</si>
  <si>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</si>
  <si>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</si>
  <si>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</si>
  <si>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</si>
  <si>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</si>
  <si>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</si>
  <si>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</si>
  <si>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</si>
  <si>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</si>
  <si>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</si>
  <si>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</si>
  <si>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</si>
  <si>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</si>
  <si>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</si>
  <si>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</si>
  <si>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</si>
  <si>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</si>
  <si>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</si>
  <si>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</si>
  <si>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</si>
  <si>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</si>
  <si>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</si>
  <si>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</si>
  <si>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</si>
  <si>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</si>
  <si>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</si>
  <si>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</si>
  <si>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</si>
  <si>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</si>
  <si>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</si>
  <si>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</si>
  <si>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</si>
  <si>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</si>
  <si>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</si>
  <si>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</si>
  <si>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</si>
  <si>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</si>
  <si>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</si>
  <si>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</si>
  <si>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</si>
  <si>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</si>
  <si>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</si>
  <si>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</si>
  <si>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</si>
  <si>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</si>
  <si>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</si>
  <si>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</si>
  <si>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</si>
  <si>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</si>
  <si>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</si>
  <si>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</si>
  <si>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</si>
  <si>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</si>
  <si>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</si>
  <si>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</si>
  <si>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</si>
  <si>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</si>
  <si>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</si>
  <si>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</si>
  <si>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</si>
  <si>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</si>
  <si>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</si>
  <si>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</si>
  <si>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</si>
  <si>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</si>
  <si>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</si>
  <si>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</si>
  <si>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</si>
  <si>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</si>
  <si>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</si>
  <si>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</si>
  <si>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</si>
  <si>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</si>
  <si>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</si>
  <si>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</si>
  <si>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</si>
  <si>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</si>
  <si>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</si>
  <si>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</si>
  <si>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</si>
  <si>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</si>
  <si>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</si>
  <si>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</si>
  <si>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</si>
  <si>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</si>
  <si>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</si>
  <si>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</si>
  <si>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</si>
  <si>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</si>
  <si>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</si>
  <si>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</si>
  <si>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</si>
  <si>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</si>
  <si>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</si>
  <si>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</si>
  <si>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</si>
  <si>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</si>
  <si>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</si>
  <si>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</si>
  <si>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</si>
  <si>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</si>
  <si>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</si>
  <si>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</si>
  <si>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</si>
  <si>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</si>
  <si>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</si>
  <si>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</si>
  <si>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</si>
  <si>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</si>
  <si>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</si>
  <si>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</si>
  <si>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</si>
  <si>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</si>
  <si>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</si>
  <si>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</si>
  <si>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</si>
  <si>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</si>
  <si>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</si>
  <si>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</si>
  <si>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</si>
  <si>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</si>
  <si>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</si>
  <si>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</si>
  <si>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</si>
  <si>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</si>
  <si>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</si>
  <si>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</si>
  <si>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</si>
  <si>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</si>
  <si>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</si>
  <si>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</si>
  <si>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</si>
  <si>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</si>
  <si>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</si>
  <si>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</si>
  <si>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</si>
  <si>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</si>
  <si>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</si>
  <si>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</si>
  <si>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</si>
  <si>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</si>
  <si>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</si>
  <si>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</si>
  <si>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</si>
  <si>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</si>
  <si>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</si>
  <si>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</si>
  <si>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</si>
  <si>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</si>
  <si>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</si>
  <si>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</si>
  <si>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</si>
  <si>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</si>
  <si>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</si>
  <si>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</si>
  <si>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</si>
  <si>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</si>
  <si>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</si>
  <si>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</si>
  <si>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</si>
  <si>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</si>
  <si>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</si>
  <si>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</si>
  <si>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</si>
  <si>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</si>
  <si>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</si>
  <si>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</si>
  <si>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</si>
  <si>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</si>
  <si>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</si>
  <si>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</si>
  <si>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</si>
  <si>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</si>
  <si>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</si>
  <si>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</si>
  <si>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</si>
  <si>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</si>
  <si>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</si>
  <si>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</si>
  <si>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</si>
  <si>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</si>
  <si>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</si>
  <si>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</si>
  <si>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</si>
  <si>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</si>
  <si>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</si>
  <si>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</si>
  <si>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</si>
  <si>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</si>
  <si>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</si>
  <si>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</si>
  <si>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</si>
  <si>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</si>
  <si>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</si>
  <si>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</si>
  <si>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</si>
  <si>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</si>
  <si>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</si>
  <si>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</si>
  <si>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</si>
  <si>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</si>
  <si>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</si>
  <si>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</si>
  <si>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</si>
  <si>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</si>
  <si>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</si>
  <si>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</si>
  <si>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</si>
  <si>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</si>
  <si>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</si>
  <si>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</si>
  <si>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</si>
  <si>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</si>
  <si>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</si>
  <si>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</si>
  <si>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</si>
  <si>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</si>
  <si>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</si>
  <si>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</si>
  <si>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</si>
  <si>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</si>
  <si>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</si>
  <si>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</si>
  <si>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</si>
  <si>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</si>
  <si>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</si>
  <si>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</si>
  <si>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</si>
  <si>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</si>
  <si>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</si>
  <si>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</si>
  <si>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</si>
  <si>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</si>
  <si>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</si>
  <si>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</si>
  <si>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</si>
  <si>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</si>
  <si>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</si>
  <si>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</si>
  <si>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</si>
  <si>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</si>
  <si>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</si>
  <si>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</si>
  <si>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</si>
  <si>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</si>
  <si>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</si>
  <si>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</si>
  <si>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</si>
  <si>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</si>
  <si>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</si>
  <si>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</si>
  <si>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</si>
  <si>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</si>
  <si>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</si>
  <si>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</si>
  <si>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</si>
  <si>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</si>
  <si>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</si>
  <si>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</si>
  <si>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</si>
  <si>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</si>
  <si>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</si>
  <si>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</si>
  <si>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</si>
  <si>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</si>
  <si>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</si>
  <si>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</si>
  <si>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</si>
  <si>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</si>
  <si>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</si>
  <si>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</si>
  <si>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</si>
  <si>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</si>
  <si>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</si>
  <si>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</si>
  <si>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</si>
  <si>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</si>
  <si>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</si>
  <si>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</si>
  <si>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</si>
  <si>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</si>
  <si>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</si>
  <si>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</si>
  <si>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</si>
  <si>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</si>
  <si>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</si>
  <si>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</si>
  <si>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</si>
  <si>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</si>
  <si>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</si>
  <si>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</si>
  <si>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</si>
  <si>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</si>
  <si>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</si>
  <si>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</si>
  <si>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</si>
  <si>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</si>
  <si>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</si>
  <si>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</si>
  <si>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</si>
  <si>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</si>
  <si>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</si>
  <si>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</si>
  <si>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</si>
  <si>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</si>
  <si>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</si>
  <si>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</si>
  <si>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</si>
  <si>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</si>
  <si>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</si>
  <si>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</si>
  <si>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</si>
  <si>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</si>
  <si>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</si>
  <si>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</si>
  <si>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</si>
  <si>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</si>
  <si>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</si>
  <si>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</si>
  <si>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</si>
  <si>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</si>
  <si>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</si>
  <si>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</si>
  <si>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</si>
  <si>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</si>
  <si>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</si>
  <si>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</si>
  <si>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</si>
  <si>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</si>
  <si>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</si>
  <si>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</si>
  <si>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</si>
  <si>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</si>
  <si>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</si>
  <si>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</si>
  <si>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</si>
  <si>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</si>
  <si>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</si>
  <si>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</si>
  <si>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</si>
  <si>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</si>
  <si>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</si>
  <si>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</si>
  <si>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</si>
  <si>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</si>
  <si>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</si>
  <si>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</si>
  <si>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</si>
  <si>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</si>
  <si>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</si>
  <si>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</si>
  <si>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</si>
  <si>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</si>
  <si>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</si>
  <si>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</si>
  <si>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</si>
  <si>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</si>
  <si>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</si>
  <si>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</si>
  <si>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</si>
  <si>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</si>
  <si>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</si>
  <si>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</si>
  <si>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</si>
  <si>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</si>
  <si>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</si>
  <si>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</si>
  <si>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</si>
  <si>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</si>
  <si>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</si>
  <si>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</si>
  <si>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</si>
  <si>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</si>
  <si>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</si>
  <si>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</si>
  <si>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</si>
  <si>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</si>
  <si>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</si>
  <si>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</si>
  <si>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</si>
  <si>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</si>
  <si>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</si>
  <si>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</si>
  <si>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</si>
  <si>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</si>
  <si>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</si>
  <si>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</si>
  <si>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</si>
  <si>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</si>
  <si>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</si>
  <si>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</si>
  <si>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</si>
  <si>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</si>
  <si>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</si>
  <si>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</si>
  <si>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</si>
  <si>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</si>
  <si>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</si>
  <si>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</si>
  <si>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</si>
  <si>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</si>
  <si>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</si>
  <si>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</si>
  <si>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</si>
  <si>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</si>
  <si>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</si>
  <si>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</si>
  <si>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</si>
  <si>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</si>
  <si>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</si>
  <si>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</si>
  <si>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</si>
  <si>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</si>
  <si>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</si>
  <si>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</si>
  <si>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</si>
  <si>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</si>
  <si>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</si>
  <si>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</si>
  <si>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</si>
  <si>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</si>
  <si>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</si>
  <si>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</si>
  <si>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</si>
  <si>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</si>
  <si>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</si>
  <si>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</si>
  <si>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</si>
  <si>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</si>
  <si>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</si>
  <si>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</si>
  <si>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</si>
  <si>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</si>
  <si>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</si>
  <si>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</si>
  <si>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</si>
  <si>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</si>
  <si>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</si>
  <si>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</si>
  <si>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</si>
  <si>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</si>
  <si>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</si>
  <si>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</si>
  <si>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</si>
  <si>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</si>
  <si>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</si>
  <si>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</si>
  <si>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</si>
  <si>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</si>
  <si>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</si>
  <si>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</si>
  <si>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</si>
  <si>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</si>
  <si>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</si>
  <si>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</si>
  <si>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</si>
  <si>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</si>
  <si>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</si>
  <si>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</si>
  <si>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</si>
  <si>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</si>
  <si>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</si>
  <si>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</si>
  <si>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</si>
  <si>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</si>
  <si>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</si>
  <si>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</si>
  <si>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</si>
  <si>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</si>
  <si>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</si>
  <si>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</si>
  <si>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</si>
  <si>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</si>
  <si>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</si>
  <si>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</si>
  <si>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</si>
  <si>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</si>
  <si>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</si>
  <si>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</si>
  <si>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</si>
  <si>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</si>
  <si>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</si>
  <si>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</si>
  <si>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</si>
  <si>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</si>
  <si>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</si>
  <si>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</si>
  <si>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</si>
  <si>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</si>
  <si>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</si>
  <si>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</si>
  <si>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</si>
  <si>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</si>
  <si>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</si>
  <si>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</si>
  <si>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</si>
  <si>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</si>
  <si>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</si>
  <si>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</si>
  <si>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</si>
  <si>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</si>
  <si>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</si>
  <si>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</si>
  <si>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</si>
  <si>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</si>
  <si>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</si>
  <si>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</si>
  <si>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</si>
  <si>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</si>
  <si>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</si>
  <si>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</si>
  <si>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</si>
  <si>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</si>
  <si>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</si>
  <si>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</si>
  <si>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</si>
  <si>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</si>
  <si>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</si>
  <si>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</si>
  <si>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</si>
  <si>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</si>
  <si>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</si>
  <si>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</si>
  <si>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</si>
  <si>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</si>
  <si>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</si>
  <si>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</si>
  <si>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</si>
  <si>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</si>
  <si>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</si>
  <si>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</si>
  <si>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</si>
  <si>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</si>
  <si>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</si>
  <si>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</si>
  <si>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</si>
  <si>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</si>
  <si>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</si>
  <si>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</si>
  <si>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</si>
  <si>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</si>
  <si>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</si>
  <si>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</si>
  <si>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</si>
  <si>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</si>
  <si>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</si>
  <si>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</si>
  <si>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</si>
  <si>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</si>
  <si>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</si>
  <si>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</si>
  <si>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</si>
  <si>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</si>
  <si>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</si>
  <si>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</si>
  <si>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</si>
  <si>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</si>
  <si>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</si>
  <si>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</si>
  <si>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</si>
  <si>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</si>
  <si>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</si>
  <si>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</si>
  <si>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</si>
  <si>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</si>
  <si>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</si>
  <si>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</si>
  <si>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</si>
  <si>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</si>
  <si>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</si>
  <si>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</si>
  <si>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</si>
  <si>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</si>
  <si>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</si>
  <si>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</si>
  <si>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</si>
  <si>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</si>
  <si>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</si>
  <si>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</si>
  <si>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</si>
  <si>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</si>
  <si>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</si>
  <si>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</si>
  <si>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</si>
  <si>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</si>
  <si>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</si>
  <si>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</si>
  <si>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</si>
  <si>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</si>
  <si>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</si>
  <si>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</si>
  <si>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</si>
  <si>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</si>
  <si>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</si>
  <si>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</si>
  <si>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</si>
  <si>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</si>
  <si>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</si>
  <si>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</si>
  <si>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</si>
  <si>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</si>
  <si>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</si>
  <si>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</si>
  <si>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</si>
  <si>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</si>
  <si>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</si>
  <si>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</si>
  <si>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</si>
  <si>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</si>
  <si>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</si>
  <si>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</si>
  <si>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</si>
  <si>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</si>
  <si>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</si>
  <si>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</si>
  <si>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</si>
  <si>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</si>
  <si>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</si>
  <si>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</si>
  <si>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</si>
  <si>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</si>
  <si>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</si>
  <si>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</si>
  <si>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</si>
  <si>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</si>
  <si>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</si>
  <si>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</si>
  <si>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</si>
  <si>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</si>
  <si>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</si>
  <si>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</si>
  <si>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</si>
  <si>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</si>
  <si>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</si>
  <si>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</si>
  <si>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</si>
  <si>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</si>
  <si>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</si>
  <si>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</si>
  <si>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</si>
  <si>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</si>
  <si>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</si>
  <si>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</si>
  <si>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</si>
  <si>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</si>
  <si>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</si>
  <si>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</si>
  <si>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</si>
  <si>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</si>
  <si>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</si>
  <si>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</si>
  <si>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</si>
  <si>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</si>
  <si>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</si>
  <si>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</si>
  <si>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</si>
  <si>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</si>
  <si>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</si>
  <si>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</si>
  <si>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</si>
  <si>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</si>
  <si>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</si>
  <si>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</si>
  <si>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</si>
  <si>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</si>
  <si>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</si>
  <si>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</si>
  <si>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</si>
  <si>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</si>
  <si>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</si>
  <si>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</si>
  <si>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</si>
  <si>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</si>
  <si>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</si>
  <si>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</si>
  <si>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</si>
  <si>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</si>
  <si>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</si>
  <si>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</si>
  <si>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</si>
  <si>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</si>
  <si>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</si>
  <si>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</si>
  <si>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</si>
  <si>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</si>
  <si>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</si>
  <si>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</si>
  <si>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</si>
  <si>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</si>
  <si>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</si>
  <si>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</si>
  <si>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</si>
  <si>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</si>
  <si>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</si>
  <si>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</si>
  <si>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</si>
  <si>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</si>
  <si>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</si>
  <si>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</si>
  <si>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</si>
  <si>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</si>
  <si>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</si>
  <si>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</si>
  <si>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</si>
  <si>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</si>
  <si>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</si>
  <si>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</si>
  <si>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</si>
  <si>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</si>
  <si>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</si>
  <si>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</si>
  <si>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</si>
  <si>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</si>
  <si>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</si>
  <si>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</si>
  <si>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</si>
  <si>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</si>
  <si>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</si>
  <si>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</si>
  <si>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</si>
  <si>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</si>
  <si>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</si>
  <si>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</si>
  <si>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</si>
  <si>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</si>
  <si>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</si>
  <si>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</si>
  <si>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</si>
  <si>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</si>
  <si>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</si>
  <si>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</si>
  <si>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</si>
  <si>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</si>
  <si>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</si>
  <si>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</si>
  <si>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</si>
  <si>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</si>
  <si>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</si>
  <si>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</si>
  <si>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</si>
  <si>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</si>
  <si>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</si>
  <si>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</si>
  <si>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</si>
  <si>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</si>
  <si>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</si>
  <si>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</si>
  <si>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</si>
  <si>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</si>
  <si>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</si>
  <si>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</si>
  <si>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</si>
  <si>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</si>
  <si>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</si>
  <si>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</si>
  <si>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</si>
  <si>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</si>
  <si>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</si>
  <si>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</si>
  <si>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</si>
  <si>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</si>
  <si>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</si>
  <si>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</si>
  <si>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</si>
  <si>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</si>
  <si>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</si>
  <si>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</si>
  <si>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</si>
  <si>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</si>
  <si>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</si>
  <si>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</si>
  <si>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</si>
  <si>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</si>
  <si>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</si>
  <si>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</si>
  <si>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</si>
  <si>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</si>
  <si>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</si>
  <si>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</si>
  <si>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</si>
  <si>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</si>
  <si>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</si>
  <si>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</si>
  <si>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</si>
  <si>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</si>
  <si>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</si>
  <si>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</si>
  <si>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</si>
  <si>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</si>
  <si>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</si>
  <si>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</si>
  <si>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</si>
  <si>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</si>
  <si>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</si>
  <si>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</si>
  <si>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</si>
  <si>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</si>
  <si>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</si>
  <si>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</si>
  <si>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</si>
  <si>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</si>
  <si>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</si>
  <si>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</si>
  <si>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</si>
  <si>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</si>
  <si>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</si>
  <si>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</si>
  <si>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</si>
  <si>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</si>
  <si>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</si>
  <si>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</si>
  <si>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</si>
  <si>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</si>
  <si>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</si>
  <si>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</si>
  <si>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</si>
  <si>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</si>
  <si>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</si>
  <si>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</si>
  <si>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</si>
  <si>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</si>
  <si>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</si>
  <si>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</si>
  <si>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</si>
  <si>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</si>
  <si>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</si>
  <si>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</si>
  <si>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</si>
  <si>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</si>
  <si>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</si>
  <si>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</si>
  <si>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</si>
  <si>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</si>
  <si>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</si>
  <si>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</si>
  <si>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</si>
  <si>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</si>
  <si>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</si>
  <si>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</si>
  <si>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</si>
  <si>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</si>
  <si>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</si>
  <si>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</si>
  <si>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</si>
  <si>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</si>
  <si>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</si>
  <si>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</si>
  <si>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</si>
  <si>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</si>
  <si>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</si>
  <si>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</si>
  <si>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</si>
  <si>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</si>
  <si>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</si>
  <si>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</si>
  <si>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</si>
  <si>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</si>
  <si>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</si>
  <si>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</si>
  <si>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</si>
  <si>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</si>
  <si>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</si>
  <si>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</si>
  <si>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</si>
  <si>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</si>
  <si>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</si>
  <si>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</si>
  <si>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</si>
  <si>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</si>
  <si>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</si>
  <si>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</si>
  <si>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</si>
  <si>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</si>
  <si>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</si>
  <si>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</si>
  <si>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</si>
  <si>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</si>
  <si>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</si>
  <si>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</si>
  <si>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</si>
  <si>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</si>
  <si>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</si>
  <si>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</si>
  <si>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</si>
  <si>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</si>
  <si>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</si>
  <si>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</si>
  <si>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</si>
  <si>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</si>
  <si>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</si>
  <si>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</si>
  <si>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</si>
  <si>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</si>
  <si>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</si>
  <si>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</si>
  <si>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</si>
  <si>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</si>
  <si>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</si>
  <si>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</si>
  <si>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</si>
  <si>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</si>
  <si>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</si>
  <si>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</si>
  <si>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</si>
  <si>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</si>
  <si>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</si>
  <si>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</si>
  <si>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</si>
  <si>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</si>
  <si>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</si>
  <si>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</si>
  <si>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</si>
  <si>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</si>
  <si>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</si>
  <si>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</si>
  <si>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</si>
  <si>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</si>
  <si>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</si>
  <si>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</si>
  <si>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</si>
  <si>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</si>
  <si>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</si>
  <si>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</si>
  <si>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</si>
  <si>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</si>
  <si>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</si>
  <si>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</si>
  <si>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</si>
  <si>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</si>
  <si>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</si>
  <si>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</si>
  <si>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</si>
  <si>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</si>
  <si>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</si>
  <si>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</si>
  <si>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</si>
  <si>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</si>
  <si>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</si>
  <si>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</si>
  <si>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</si>
  <si>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</si>
  <si>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</si>
  <si>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</si>
  <si>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</si>
  <si>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</si>
  <si>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</si>
  <si>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</si>
  <si>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</si>
  <si>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</si>
  <si>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</si>
  <si>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</si>
  <si>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</si>
  <si>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</si>
  <si>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</si>
  <si>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</si>
  <si>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</si>
  <si>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</si>
  <si>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</si>
  <si>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</si>
  <si>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</si>
  <si>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</si>
  <si>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</si>
  <si>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</si>
  <si>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</si>
  <si>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</si>
  <si>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</si>
  <si>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</si>
  <si>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</si>
  <si>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</si>
  <si>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</si>
  <si>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</si>
  <si>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</si>
  <si>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</si>
  <si>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</si>
  <si>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</si>
  <si>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</si>
  <si>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</si>
  <si>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</si>
  <si>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</si>
  <si>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</si>
  <si>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</si>
  <si>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</si>
  <si>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</si>
  <si>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</si>
  <si>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</si>
  <si>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</si>
  <si>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</si>
  <si>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</si>
  <si>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</si>
  <si>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</si>
  <si>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</si>
  <si>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</si>
  <si>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</si>
  <si>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</si>
  <si>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</si>
  <si>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</si>
  <si>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</si>
  <si>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</si>
  <si>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</si>
  <si>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</si>
  <si>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</si>
  <si>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</si>
  <si>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</si>
  <si>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</si>
  <si>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</si>
  <si>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</si>
  <si>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</si>
  <si>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</si>
  <si>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</si>
  <si>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</si>
  <si>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</si>
  <si>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</si>
  <si>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</si>
  <si>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</si>
  <si>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</si>
  <si>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</si>
  <si>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</si>
  <si>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</si>
  <si>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</si>
  <si>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</si>
  <si>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</si>
  <si>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</si>
  <si>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</si>
  <si>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</si>
  <si>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</si>
  <si>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</si>
  <si>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</si>
  <si>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</si>
  <si>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</si>
  <si>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</si>
  <si>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</si>
  <si>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</si>
  <si>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</si>
  <si>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</si>
  <si>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</si>
  <si>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</si>
  <si>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</si>
  <si>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</si>
  <si>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</si>
  <si>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</si>
  <si>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</si>
  <si>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</si>
  <si>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</si>
  <si>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</si>
  <si>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</si>
  <si>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</si>
  <si>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</si>
  <si>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</si>
  <si>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</si>
  <si>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</si>
  <si>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</si>
  <si>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</si>
  <si>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</si>
  <si>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</si>
  <si>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</si>
  <si>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</si>
  <si>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</si>
  <si>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</si>
  <si>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</si>
  <si>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</si>
  <si>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</si>
  <si>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</si>
  <si>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</si>
  <si>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</si>
  <si>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</si>
  <si>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</si>
  <si>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</si>
  <si>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</si>
  <si>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</si>
  <si>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</si>
  <si>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</si>
  <si>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</si>
  <si>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</si>
  <si>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</si>
  <si>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</si>
  <si>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</si>
  <si>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</si>
  <si>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</si>
  <si>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</si>
  <si>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</si>
  <si>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</si>
  <si>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</si>
  <si>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</si>
  <si>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</si>
  <si>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</si>
  <si>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</si>
  <si>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</si>
  <si>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</si>
  <si>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</si>
  <si>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</si>
  <si>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</si>
  <si>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</si>
  <si>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</si>
  <si>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</si>
  <si>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</si>
  <si>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</si>
  <si>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</si>
  <si>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</si>
  <si>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</si>
  <si>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</si>
  <si>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</si>
  <si>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</si>
  <si>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</si>
  <si>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</si>
  <si>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</si>
  <si>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</si>
  <si>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</si>
  <si>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</si>
  <si>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</si>
  <si>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</si>
  <si>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</si>
  <si>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</si>
  <si>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</si>
  <si>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</si>
  <si>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</si>
  <si>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</si>
  <si>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</si>
  <si>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</si>
  <si>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</si>
  <si>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</si>
  <si>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</si>
  <si>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</si>
  <si>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</si>
  <si>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</si>
  <si>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</si>
  <si>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</si>
  <si>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</si>
  <si>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</si>
  <si>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</si>
  <si>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</si>
  <si>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</si>
  <si>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</si>
  <si>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</si>
  <si>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</si>
  <si>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</si>
  <si>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</si>
  <si>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</si>
  <si>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</si>
  <si>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</si>
  <si>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</si>
  <si>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</si>
  <si>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</si>
  <si>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</si>
  <si>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</si>
  <si>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</si>
  <si>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</si>
  <si>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</si>
  <si>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</si>
  <si>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</si>
  <si>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</si>
  <si>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</si>
  <si>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</si>
  <si>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</si>
  <si>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</si>
  <si>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</si>
  <si>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</si>
  <si>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</si>
  <si>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</si>
  <si>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</si>
  <si>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</si>
  <si>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</si>
  <si>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</si>
  <si>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</si>
  <si>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</si>
  <si>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</si>
  <si>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</si>
  <si>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</si>
  <si>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</si>
  <si>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</si>
  <si>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</si>
  <si>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</si>
  <si>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</si>
  <si>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</si>
  <si>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</si>
  <si>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</si>
  <si>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</si>
  <si>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</si>
  <si>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</si>
  <si>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</si>
  <si>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</si>
  <si>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</si>
  <si>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</si>
  <si>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</si>
  <si>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</si>
  <si>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</si>
  <si>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</si>
  <si>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</si>
  <si>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</si>
  <si>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</si>
  <si>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</si>
  <si>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</si>
  <si>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</si>
  <si>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</si>
  <si>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</si>
  <si>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</si>
  <si>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</si>
  <si>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</si>
  <si>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</si>
  <si>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</si>
  <si>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</si>
  <si>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</si>
  <si>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</si>
  <si>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</si>
  <si>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</si>
  <si>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</si>
  <si>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</si>
  <si>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</si>
  <si>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</si>
  <si>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</si>
  <si>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</si>
  <si>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</si>
  <si>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</si>
  <si>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</si>
  <si>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</si>
  <si>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</si>
  <si>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</si>
  <si>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</si>
  <si>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</si>
  <si>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</si>
  <si>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</si>
  <si>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</si>
  <si>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</si>
  <si>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</si>
  <si>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</si>
  <si>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</si>
  <si>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</si>
  <si>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</si>
  <si>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</si>
  <si>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</si>
  <si>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</si>
  <si>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</si>
  <si>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</si>
  <si>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</si>
  <si>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</si>
  <si>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</si>
  <si>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</si>
  <si>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</si>
  <si>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</si>
  <si>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</si>
  <si>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</si>
  <si>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</si>
  <si>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</si>
  <si>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</si>
  <si>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</si>
  <si>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</si>
  <si>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</si>
  <si>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</si>
  <si>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</si>
  <si>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</si>
  <si>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</si>
  <si>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</si>
  <si>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</si>
  <si>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</si>
  <si>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</si>
  <si>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</si>
  <si>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</si>
  <si>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</si>
  <si>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</si>
  <si>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</si>
  <si>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</si>
  <si>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</si>
  <si>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</si>
  <si>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</si>
  <si>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</si>
  <si>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</si>
  <si>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</si>
  <si>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</si>
  <si>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</si>
  <si>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</si>
  <si>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</si>
  <si>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</si>
  <si>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</si>
  <si>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</si>
  <si>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</si>
  <si>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</si>
  <si>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</si>
  <si>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</si>
  <si>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</si>
  <si>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</si>
  <si>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</si>
  <si>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</si>
  <si>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</si>
  <si>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</si>
  <si>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</si>
  <si>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</si>
  <si>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</si>
  <si>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</si>
  <si>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</si>
  <si>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</si>
  <si>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</si>
  <si>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</si>
  <si>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</si>
  <si>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</si>
  <si>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</si>
  <si>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</si>
  <si>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</si>
  <si>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</si>
  <si>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</si>
  <si>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</si>
  <si>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</si>
  <si>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</si>
  <si>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</si>
  <si>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</si>
  <si>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</si>
  <si>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</si>
  <si>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</si>
  <si>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</si>
  <si>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</si>
  <si>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</si>
  <si>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</si>
  <si>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</si>
  <si>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</si>
  <si>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</si>
  <si>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</si>
  <si>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</si>
  <si>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</si>
  <si>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</si>
  <si>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</si>
  <si>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</si>
  <si>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</si>
  <si>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</si>
  <si>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</si>
  <si>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</si>
  <si>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</si>
  <si>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</si>
  <si>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</si>
  <si>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</si>
  <si>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</si>
  <si>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</si>
  <si>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</si>
  <si>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</si>
  <si>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</si>
  <si>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</si>
  <si>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</si>
  <si>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</si>
  <si>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</si>
  <si>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</si>
  <si>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</si>
  <si>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</si>
  <si>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</si>
  <si>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</si>
  <si>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</si>
  <si>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</si>
  <si>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</si>
  <si>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</si>
  <si>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</si>
  <si>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</si>
  <si>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</si>
  <si>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</si>
  <si>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</si>
  <si>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</si>
  <si>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</si>
  <si>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</si>
  <si>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</si>
  <si>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</si>
  <si>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</si>
  <si>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</si>
  <si>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</si>
  <si>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</si>
  <si>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</si>
  <si>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</si>
  <si>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</si>
  <si>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</si>
  <si>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</si>
  <si>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</si>
  <si>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</si>
  <si>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</si>
  <si>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</si>
  <si>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</si>
  <si>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</si>
  <si>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</si>
  <si>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</si>
  <si>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</si>
  <si>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</si>
  <si>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</si>
  <si>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</si>
  <si>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</si>
  <si>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</si>
  <si>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</si>
  <si>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</si>
  <si>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</si>
  <si>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</si>
  <si>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</si>
  <si>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</si>
  <si>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</si>
  <si>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</si>
  <si>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</si>
  <si>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</si>
  <si>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</si>
  <si>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</si>
  <si>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</si>
  <si>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</si>
  <si>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</si>
  <si>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</si>
  <si>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</si>
  <si>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</si>
  <si>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</si>
  <si>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</si>
  <si>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</si>
  <si>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</si>
  <si>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</si>
  <si>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</si>
  <si>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</si>
  <si>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</si>
  <si>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</si>
  <si>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</si>
  <si>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</si>
  <si>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</si>
  <si>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</si>
  <si>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</si>
  <si>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</si>
  <si>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</si>
  <si>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</si>
  <si>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</si>
  <si>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</si>
  <si>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</si>
  <si>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</si>
  <si>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</si>
  <si>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</si>
  <si>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</si>
  <si>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</si>
  <si>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</si>
  <si>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</si>
  <si>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</si>
  <si>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</si>
  <si>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</si>
  <si>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</si>
  <si>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</si>
  <si>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</si>
  <si>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</si>
  <si>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</si>
  <si>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</si>
  <si>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</si>
  <si>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</si>
  <si>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</si>
  <si>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</si>
  <si>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</si>
  <si>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</si>
  <si>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</si>
  <si>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</si>
  <si>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</si>
  <si>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</si>
  <si>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</si>
  <si>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</si>
  <si>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</si>
  <si>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</si>
  <si>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</si>
  <si>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</si>
  <si>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</si>
  <si>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</si>
  <si>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</si>
  <si>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</si>
  <si>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</si>
  <si>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</si>
  <si>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</si>
  <si>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</si>
  <si>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</si>
  <si>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</si>
  <si>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</si>
  <si>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</si>
  <si>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</si>
  <si>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</si>
  <si>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</si>
  <si>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</si>
  <si>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</si>
  <si>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</si>
  <si>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</si>
  <si>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</si>
  <si>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</si>
  <si>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</si>
  <si>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</si>
  <si>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</si>
  <si>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</si>
  <si>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</si>
  <si>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</si>
  <si>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</si>
  <si>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</si>
  <si>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</si>
  <si>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</si>
  <si>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</si>
  <si>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</si>
  <si>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</si>
  <si>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</si>
  <si>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</si>
  <si>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</si>
  <si>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</si>
  <si>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</si>
  <si>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</si>
  <si>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</si>
  <si>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</si>
  <si>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</si>
  <si>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</si>
  <si>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</si>
  <si>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</si>
  <si>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</si>
  <si>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</si>
  <si>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</si>
  <si>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</si>
  <si>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</si>
  <si>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</si>
  <si>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</si>
  <si>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</si>
  <si>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</si>
  <si>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</si>
  <si>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</si>
  <si>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</si>
  <si>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</si>
  <si>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</si>
  <si>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</si>
  <si>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</si>
  <si>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</si>
  <si>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</si>
  <si>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</si>
  <si>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</si>
  <si>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</si>
  <si>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</si>
  <si>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</si>
  <si>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</si>
  <si>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</si>
  <si>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</si>
  <si>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</si>
  <si>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</si>
  <si>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</si>
  <si>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</si>
  <si>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</si>
  <si>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</si>
  <si>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</si>
  <si>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</si>
  <si>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</si>
  <si>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</si>
  <si>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</si>
  <si>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</si>
  <si>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</si>
  <si>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</si>
  <si>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</si>
  <si>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</si>
  <si>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</si>
  <si>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</si>
  <si>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</si>
  <si>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</si>
  <si>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</si>
  <si>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</si>
  <si>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</si>
  <si>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</si>
  <si>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</si>
  <si>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</si>
  <si>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</si>
  <si>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</si>
  <si>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</si>
  <si>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</si>
  <si>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</si>
  <si>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</si>
  <si>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</si>
  <si>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</si>
  <si>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</si>
  <si>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</si>
  <si>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</si>
  <si>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</si>
  <si>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</si>
  <si>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</si>
  <si>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</si>
  <si>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</si>
  <si>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</si>
  <si>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</si>
  <si>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</si>
  <si>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</si>
  <si>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</si>
  <si>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</si>
  <si>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</si>
  <si>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</si>
  <si>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</si>
  <si>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</si>
  <si>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</si>
  <si>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</si>
  <si>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</si>
  <si>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</si>
  <si>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</si>
  <si>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</si>
  <si>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</si>
  <si>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</si>
  <si>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</si>
  <si>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</si>
  <si>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</si>
  <si>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</si>
  <si>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</si>
  <si>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</si>
  <si>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</si>
  <si>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</si>
  <si>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</si>
  <si>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</si>
  <si>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</si>
  <si>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</si>
  <si>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</si>
  <si>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</si>
  <si>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</si>
  <si>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</si>
  <si>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</si>
  <si>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</si>
  <si>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</si>
  <si>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</si>
  <si>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</si>
  <si>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</si>
  <si>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</si>
  <si>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</si>
  <si>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</si>
  <si>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</si>
  <si>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</si>
  <si>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</si>
  <si>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</si>
  <si>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</si>
  <si>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</si>
  <si>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</si>
  <si>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</si>
  <si>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</si>
  <si>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</si>
  <si>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</si>
  <si>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</si>
  <si>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</si>
  <si>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</si>
  <si>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</si>
  <si>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</si>
  <si>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</si>
  <si>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</si>
  <si>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</si>
  <si>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</si>
  <si>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</si>
  <si>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</si>
  <si>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</si>
  <si>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</si>
  <si>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</si>
  <si>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</si>
  <si>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</si>
  <si>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</si>
  <si>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</si>
  <si>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</si>
  <si>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</si>
  <si>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</si>
  <si>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</si>
  <si>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</si>
  <si>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</si>
  <si>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</si>
  <si>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</si>
  <si>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</si>
  <si>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</si>
  <si>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</si>
  <si>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</si>
  <si>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</si>
  <si>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</si>
  <si>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</si>
  <si>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</si>
  <si>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</si>
  <si>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</si>
  <si>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</si>
  <si>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</si>
  <si>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</si>
  <si>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</si>
  <si>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</si>
  <si>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</si>
  <si>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</si>
  <si>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</si>
  <si>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</si>
  <si>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</si>
  <si>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</si>
  <si>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</si>
  <si>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</si>
  <si>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</si>
  <si>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</si>
  <si>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</si>
  <si>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</si>
  <si>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</si>
  <si>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</si>
  <si>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</si>
  <si>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</si>
  <si>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</si>
  <si>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</si>
  <si>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</si>
  <si>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</si>
  <si>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</si>
  <si>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</si>
  <si>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</si>
  <si>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</si>
  <si>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</si>
  <si>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</si>
  <si>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</si>
  <si>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</si>
  <si>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</si>
  <si>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</si>
  <si>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</si>
  <si>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</si>
  <si>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</si>
  <si>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</si>
  <si>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</si>
  <si>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</si>
  <si>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</si>
  <si>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</si>
  <si>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</si>
  <si>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</si>
  <si>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</si>
  <si>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</si>
  <si>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</si>
  <si>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</si>
  <si>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</si>
  <si>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</si>
  <si>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</si>
  <si>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</si>
  <si>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</si>
  <si>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</si>
  <si>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</si>
  <si>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</si>
  <si>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</si>
  <si>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</si>
  <si>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</si>
  <si>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</si>
  <si>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</si>
  <si>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</si>
  <si>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</si>
  <si>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</si>
  <si>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</si>
  <si>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</si>
  <si>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</si>
  <si>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</si>
  <si>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</si>
  <si>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</si>
  <si>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</si>
  <si>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</si>
  <si>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</si>
  <si>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</si>
  <si>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</si>
  <si>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</si>
  <si>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</si>
  <si>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</si>
  <si>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</si>
  <si>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</si>
  <si>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</si>
  <si>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</si>
  <si>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</si>
  <si>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</si>
  <si>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</si>
  <si>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</si>
  <si>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</si>
  <si>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</si>
  <si>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</si>
  <si>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</si>
  <si>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</si>
  <si>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</si>
  <si>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</si>
  <si>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</si>
  <si>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</si>
  <si>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</si>
  <si>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</si>
  <si>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</si>
  <si>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</si>
  <si>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</si>
  <si>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</si>
  <si>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</si>
  <si>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</si>
  <si>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</si>
  <si>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</si>
  <si>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</si>
  <si>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</si>
  <si>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</si>
  <si>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</si>
  <si>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</si>
  <si>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</si>
  <si>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</si>
  <si>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</si>
  <si>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</si>
  <si>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</si>
  <si>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</si>
  <si>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</si>
  <si>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</si>
  <si>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</si>
  <si>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</si>
  <si>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</si>
  <si>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</si>
  <si>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</si>
  <si>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</si>
  <si>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</si>
  <si>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</si>
  <si>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</si>
  <si>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</si>
  <si>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</si>
  <si>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</si>
  <si>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</si>
  <si>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</si>
  <si>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</si>
  <si>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</si>
  <si>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</si>
  <si>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</si>
  <si>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</si>
  <si>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</si>
  <si>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</si>
  <si>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</si>
  <si>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</si>
  <si>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</si>
  <si>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</si>
  <si>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</si>
  <si>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</si>
  <si>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</si>
  <si>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</si>
  <si>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</si>
  <si>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</si>
  <si>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</si>
  <si>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</si>
  <si>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</si>
  <si>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</si>
  <si>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</si>
  <si>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</si>
  <si>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</si>
  <si>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</si>
  <si>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</si>
  <si>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</si>
  <si>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</si>
  <si>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</si>
  <si>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</si>
  <si>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</si>
  <si>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</si>
  <si>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</si>
  <si>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</si>
  <si>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</si>
  <si>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</si>
  <si>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</si>
  <si>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</si>
  <si>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</si>
  <si>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</si>
  <si>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</si>
  <si>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</si>
  <si>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</si>
  <si>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</si>
  <si>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</si>
  <si>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</si>
  <si>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</si>
  <si>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</si>
  <si>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</si>
  <si>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</si>
  <si>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</si>
  <si>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</si>
  <si>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</si>
  <si>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</si>
  <si>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</si>
  <si>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</si>
  <si>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</si>
  <si>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</si>
  <si>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</si>
  <si>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</si>
  <si>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</si>
  <si>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</si>
  <si>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</si>
  <si>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</si>
  <si>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</si>
  <si>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</si>
  <si>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</si>
  <si>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</si>
  <si>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</si>
  <si>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</si>
  <si>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</si>
  <si>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</si>
  <si>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</si>
  <si>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</si>
  <si>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</si>
  <si>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</si>
  <si>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</si>
  <si>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</si>
  <si>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</si>
  <si>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</si>
  <si>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</si>
  <si>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</si>
  <si>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</si>
  <si>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</si>
  <si>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</si>
  <si>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</si>
  <si>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</si>
  <si>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</si>
  <si>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</si>
  <si>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</si>
  <si>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</si>
  <si>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</si>
  <si>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</si>
  <si>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</si>
  <si>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</si>
  <si>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</si>
  <si>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</si>
  <si>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</si>
  <si>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</si>
  <si>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</si>
  <si>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</si>
  <si>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</si>
  <si>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</si>
  <si>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</si>
  <si>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</si>
  <si>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</si>
  <si>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</si>
  <si>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</si>
  <si>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</si>
  <si>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</si>
  <si>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</si>
  <si>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</si>
  <si>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</si>
  <si>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</si>
  <si>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</si>
  <si>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</si>
  <si>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</si>
  <si>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</si>
  <si>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</si>
  <si>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</si>
  <si>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</si>
  <si>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</si>
  <si>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</si>
  <si>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</si>
  <si>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</si>
  <si>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</si>
  <si>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</si>
  <si>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</si>
  <si>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</si>
  <si>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</si>
  <si>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</si>
  <si>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</si>
  <si>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</si>
  <si>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</si>
  <si>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</si>
  <si>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</si>
  <si>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</si>
  <si>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</si>
  <si>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</si>
  <si>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</si>
  <si>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</si>
  <si>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</si>
  <si>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</si>
  <si>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</si>
  <si>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</si>
  <si>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</si>
  <si>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</si>
  <si>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</si>
  <si>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</si>
  <si>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</si>
  <si>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</si>
  <si>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</si>
  <si>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</si>
  <si>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</si>
  <si>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</si>
  <si>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</si>
  <si>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</si>
  <si>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</si>
  <si>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</si>
  <si>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</si>
  <si>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</si>
  <si>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</si>
  <si>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</si>
  <si>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</si>
  <si>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</si>
  <si>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</si>
  <si>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</si>
  <si>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</si>
  <si>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</si>
  <si>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</si>
  <si>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</si>
  <si>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</si>
  <si>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</si>
  <si>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</si>
  <si>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</si>
  <si>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</si>
  <si>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</si>
  <si>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</si>
  <si>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</si>
  <si>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</si>
  <si>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</si>
  <si>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</si>
  <si>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</si>
  <si>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</si>
  <si>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</si>
  <si>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</si>
  <si>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</si>
  <si>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</si>
  <si>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</si>
  <si>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</si>
  <si>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</si>
  <si>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</si>
  <si>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</si>
  <si>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</si>
  <si>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</si>
  <si>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</si>
  <si>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</si>
  <si>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</si>
  <si>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</si>
  <si>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</si>
  <si>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</si>
  <si>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</si>
  <si>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</si>
  <si>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</si>
  <si>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</si>
  <si>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</si>
  <si>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</si>
  <si>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</si>
  <si>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</si>
  <si>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</si>
  <si>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</si>
  <si>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</si>
  <si>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</si>
  <si>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</si>
  <si>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</si>
  <si>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</si>
  <si>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</si>
  <si>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</si>
  <si>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</si>
  <si>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</si>
  <si>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</si>
  <si>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</si>
  <si>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</si>
  <si>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</si>
  <si>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</si>
  <si>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</si>
  <si>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</si>
  <si>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</si>
  <si>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</si>
  <si>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</si>
  <si>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</si>
  <si>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</si>
  <si>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</si>
  <si>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</si>
  <si>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</si>
  <si>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</si>
  <si>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</si>
  <si>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</si>
  <si>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</si>
  <si>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</si>
  <si>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</si>
  <si>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</si>
  <si>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</si>
  <si>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</si>
  <si>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</si>
  <si>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</si>
  <si>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</si>
  <si>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</si>
  <si>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</si>
  <si>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</si>
  <si>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</si>
  <si>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</si>
  <si>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</si>
  <si>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</si>
  <si>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</si>
  <si>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</si>
  <si>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</si>
  <si>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</si>
  <si>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</si>
  <si>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</si>
  <si>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</si>
  <si>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</si>
  <si>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</si>
  <si>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</si>
  <si>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</si>
  <si>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</si>
  <si>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</si>
  <si>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</si>
  <si>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</si>
  <si>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</si>
  <si>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</si>
  <si>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</si>
  <si>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</si>
  <si>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</si>
  <si>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</si>
  <si>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</si>
  <si>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</si>
  <si>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</si>
  <si>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</si>
  <si>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</si>
  <si>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</si>
  <si>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</si>
  <si>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</si>
  <si>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</si>
  <si>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</si>
  <si>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</si>
  <si>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</si>
  <si>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</si>
  <si>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</si>
  <si>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</si>
  <si>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</si>
  <si>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</si>
  <si>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</si>
  <si>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</si>
  <si>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</si>
  <si>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</si>
  <si>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</si>
  <si>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</si>
  <si>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</si>
  <si>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</si>
  <si>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</si>
  <si>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</si>
  <si>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</si>
  <si>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</si>
  <si>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</si>
  <si>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</si>
  <si>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</si>
  <si>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</si>
  <si>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</si>
  <si>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</si>
  <si>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</si>
  <si>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</si>
  <si>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</si>
  <si>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</si>
  <si>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</si>
  <si>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</si>
  <si>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</si>
  <si>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</si>
  <si>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</si>
  <si>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</si>
  <si>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</si>
  <si>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</si>
  <si>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</si>
  <si>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</si>
  <si>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</si>
  <si>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</si>
  <si>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</si>
  <si>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</si>
  <si>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</si>
  <si>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</si>
  <si>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</si>
  <si>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</si>
  <si>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</si>
  <si>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</si>
  <si>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</si>
  <si>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</si>
  <si>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</si>
  <si>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</si>
  <si>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</si>
  <si>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</si>
  <si>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</si>
  <si>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</si>
  <si>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</si>
  <si>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</si>
  <si>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</si>
  <si>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</si>
  <si>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</si>
  <si>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</si>
  <si>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</si>
  <si>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</si>
  <si>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</si>
  <si>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</si>
  <si>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</si>
  <si>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</si>
  <si>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</si>
  <si>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</si>
  <si>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</si>
  <si>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</si>
  <si>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</si>
  <si>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</si>
  <si>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</si>
  <si>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</si>
  <si>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</si>
  <si>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</si>
  <si>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</si>
  <si>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</si>
  <si>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</si>
  <si>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</si>
  <si>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</si>
  <si>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</si>
  <si>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</si>
  <si>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</si>
  <si>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</si>
  <si>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</si>
  <si>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</si>
  <si>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</si>
  <si>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</si>
  <si>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</si>
  <si>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</si>
  <si>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</si>
  <si>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</si>
  <si>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</si>
  <si>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</si>
  <si>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</si>
  <si>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</si>
  <si>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</si>
  <si>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</si>
  <si>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</si>
  <si>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</si>
  <si>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</si>
  <si>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</si>
  <si>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</si>
  <si>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</si>
  <si>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</si>
  <si>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</si>
  <si>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</si>
  <si>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</si>
  <si>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</si>
  <si>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</si>
  <si>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</si>
  <si>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</si>
  <si>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</si>
  <si>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</si>
  <si>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</si>
  <si>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</si>
  <si>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</si>
  <si>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</si>
  <si>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</si>
  <si>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</si>
  <si>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</si>
  <si>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</si>
  <si>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</si>
  <si>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</si>
  <si>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</si>
  <si>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</si>
  <si>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</si>
  <si>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</si>
  <si>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</si>
  <si>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</si>
  <si>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</si>
  <si>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</si>
  <si>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</si>
  <si>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</si>
  <si>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</si>
  <si>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</si>
  <si>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</si>
  <si>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</si>
  <si>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</si>
  <si>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</si>
  <si>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</si>
  <si>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</si>
  <si>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</si>
  <si>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</si>
  <si>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</si>
  <si>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</si>
  <si>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</si>
  <si>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</si>
  <si>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</si>
  <si>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</si>
  <si>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</si>
  <si>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</si>
  <si>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</si>
  <si>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</si>
  <si>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</si>
  <si>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</si>
  <si>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</si>
  <si>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</si>
  <si>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</si>
  <si>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</si>
  <si>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</si>
  <si>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</si>
  <si>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</si>
  <si>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</si>
  <si>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</si>
  <si>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</si>
  <si>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</si>
  <si>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</si>
  <si>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</si>
  <si>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</si>
  <si>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</si>
  <si>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</si>
  <si>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</si>
  <si>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</si>
  <si>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</si>
  <si>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</si>
  <si>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</si>
  <si>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</si>
  <si>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</si>
  <si>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</si>
  <si>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</si>
  <si>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</si>
  <si>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</si>
  <si>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</si>
  <si>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</si>
  <si>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</si>
  <si>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</si>
  <si>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</si>
  <si>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</si>
  <si>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</si>
  <si>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</si>
  <si>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</si>
  <si>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</si>
  <si>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</si>
  <si>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</si>
  <si>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</si>
  <si>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</si>
  <si>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</si>
  <si>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</si>
  <si>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</si>
  <si>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</si>
  <si>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</si>
  <si>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</si>
  <si>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</si>
  <si>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</si>
  <si>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</si>
  <si>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</si>
  <si>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</si>
  <si>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</si>
  <si>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</si>
  <si>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</si>
  <si>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</si>
  <si>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</si>
  <si>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</si>
  <si>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</si>
  <si>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</si>
  <si>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</si>
  <si>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</si>
  <si>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</si>
  <si>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</si>
  <si>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</si>
  <si>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</si>
  <si>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</si>
  <si>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</si>
  <si>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</si>
  <si>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</si>
  <si>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</si>
  <si>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</si>
  <si>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</si>
  <si>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</si>
  <si>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</si>
  <si>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</si>
  <si>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</si>
  <si>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</si>
  <si>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</si>
  <si>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</si>
  <si>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</si>
  <si>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</si>
  <si>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</si>
  <si>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</si>
  <si>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</si>
  <si>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</si>
  <si>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</si>
  <si>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</si>
  <si>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</si>
  <si>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</si>
  <si>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</si>
  <si>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</si>
  <si>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</si>
  <si>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</si>
  <si>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</si>
  <si>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</si>
  <si>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</si>
  <si>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</si>
  <si>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</si>
  <si>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</si>
  <si>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</si>
  <si>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</si>
  <si>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</si>
  <si>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</si>
  <si>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</si>
  <si>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</si>
  <si>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</si>
  <si>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</si>
  <si>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</si>
  <si>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</si>
  <si>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</si>
  <si>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</si>
  <si>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</si>
  <si>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</si>
  <si>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</si>
  <si>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</si>
  <si>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</si>
  <si>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</si>
  <si>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</si>
  <si>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</si>
  <si>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</si>
  <si>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</si>
  <si>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</si>
  <si>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</si>
  <si>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</si>
  <si>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</si>
  <si>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</si>
  <si>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</si>
  <si>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</si>
  <si>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</si>
  <si>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</si>
  <si>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</si>
  <si>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</si>
  <si>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</si>
  <si>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</si>
  <si>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</si>
  <si>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</si>
  <si>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</si>
  <si>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</si>
  <si>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</si>
  <si>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</si>
  <si>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</si>
  <si>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</si>
  <si>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</si>
  <si>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</si>
  <si>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</si>
  <si>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</si>
  <si>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</si>
  <si>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</si>
  <si>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</si>
  <si>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</si>
  <si>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</si>
  <si>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</si>
  <si>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</si>
  <si>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</si>
  <si>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</si>
  <si>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</si>
  <si>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</si>
  <si>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</si>
  <si>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</si>
  <si>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</si>
  <si>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</si>
  <si>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</si>
  <si>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</si>
  <si>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</si>
  <si>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</si>
  <si>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</si>
  <si>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</si>
  <si>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</si>
  <si>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</si>
  <si>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</si>
  <si>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</si>
  <si>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</si>
  <si>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</si>
  <si>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</si>
  <si>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</si>
  <si>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</si>
  <si>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</si>
  <si>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</si>
  <si>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</si>
  <si>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</si>
  <si>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</si>
  <si>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</si>
  <si>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</si>
  <si>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</si>
  <si>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</si>
  <si>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</si>
  <si>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</si>
  <si>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</si>
  <si>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</si>
  <si>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</si>
  <si>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</si>
  <si>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</si>
  <si>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</si>
  <si>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</si>
  <si>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</si>
  <si>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</si>
  <si>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</si>
  <si>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</si>
  <si>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</si>
  <si>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</si>
  <si>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</si>
  <si>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</si>
  <si>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</si>
  <si>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</si>
  <si>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</si>
  <si>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</si>
  <si>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</si>
  <si>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</si>
  <si>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</si>
  <si>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</si>
  <si>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</si>
  <si>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</si>
  <si>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</si>
  <si>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</si>
  <si>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</si>
  <si>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</si>
  <si>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</si>
  <si>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</si>
  <si>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</si>
  <si>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</si>
  <si>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</si>
  <si>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</si>
  <si>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</si>
  <si>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</si>
  <si>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</si>
  <si>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</si>
  <si>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</si>
  <si>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</si>
  <si>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</si>
  <si>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</si>
  <si>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</si>
  <si>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</si>
  <si>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</si>
  <si>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</si>
  <si>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</si>
  <si>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</si>
  <si>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</si>
  <si>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</si>
  <si>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</si>
  <si>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</si>
  <si>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</si>
  <si>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</si>
  <si>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</si>
  <si>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</si>
  <si>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</si>
  <si>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</si>
  <si>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</si>
  <si>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</si>
  <si>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</si>
  <si>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</si>
  <si>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</si>
  <si>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</si>
  <si>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</si>
  <si>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</si>
  <si>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</si>
  <si>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</si>
  <si>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</si>
  <si>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</si>
  <si>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</si>
  <si>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</si>
  <si>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</si>
  <si>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</si>
  <si>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</si>
  <si>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</si>
  <si>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</si>
  <si>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</si>
  <si>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</si>
  <si>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</si>
  <si>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</si>
  <si>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</si>
  <si>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</si>
  <si>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</si>
  <si>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</si>
  <si>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</si>
  <si>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</si>
  <si>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</si>
  <si>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</si>
  <si>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</si>
  <si>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</si>
  <si>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</si>
  <si>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</si>
  <si>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</si>
  <si>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</si>
  <si>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</si>
  <si>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</si>
  <si>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</si>
  <si>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</si>
  <si>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</si>
  <si>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</si>
  <si>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</si>
  <si>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</si>
  <si>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</si>
  <si>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</si>
  <si>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</si>
  <si>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</si>
  <si>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</si>
  <si>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</si>
  <si>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</si>
  <si>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</si>
  <si>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</si>
  <si>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</si>
  <si>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</si>
  <si>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</si>
  <si>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</si>
  <si>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</si>
  <si>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</si>
  <si>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</si>
  <si>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</si>
  <si>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</si>
  <si>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</si>
  <si>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</si>
  <si>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</si>
  <si>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</si>
  <si>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</si>
  <si>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</si>
  <si>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</si>
  <si>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</si>
  <si>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</si>
  <si>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</si>
  <si>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2017 y al 30 de septiembre de 2018 (b)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</si>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</sst>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0" fillId="0" borderId="13" xfId="0" applyNumberFormat="1" applyFill="1" applyBorder="1" applyProtection="1"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0" fillId="4" borderId="13" xfId="0" applyNumberFormat="1" applyFill="1" applyBorder="1" applyAlignment="1" applyProtection="1">
      <alignment vertical="center"/>
      <protection locked="0"/>
    </xf>
    <xf numFmtId="4" fontId="0" fillId="0" borderId="8" xfId="0" applyNumberFormat="1" applyFill="1" applyBorder="1" applyAlignment="1" applyProtection="1">
      <alignment vertical="center"/>
      <protection locked="0"/>
    </xf>
    <xf numFmtId="4" fontId="0" fillId="0" borderId="8" xfId="0" applyNumberFormat="1" applyFont="1" applyFill="1" applyBorder="1" applyAlignment="1" applyProtection="1">
      <alignment vertical="center"/>
      <protection locked="0"/>
    </xf>
    <xf numFmtId="4" fontId="0" fillId="0" borderId="8" xfId="0" applyNumberForma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Protection="1"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58" t="s">
        <v>829</v>
      </c>
      <c r="B1" s="159"/>
      <c r="C1" s="159"/>
      <c r="D1" s="159"/>
      <c r="E1" s="160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792</v>
      </c>
      <c r="C3" s="161" t="s">
        <v>3302</v>
      </c>
      <c r="D3" s="161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795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796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rintOptions horizontalCentered="1"/>
  <pageMargins left="0.70866141732283472" right="0.70866141732283472" top="0.74803149606299213" bottom="0.74803149606299213" header="0.31496062992125984" footer="0.31496062992125984"/>
  <pageSetup paperSize="119" scale="70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view="pageBreakPreview" topLeftCell="A58" zoomScale="60" zoomScaleNormal="85" workbookViewId="0">
      <selection activeCell="B14" sqref="B14:D1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74" t="s">
        <v>542</v>
      </c>
      <c r="B1" s="174"/>
      <c r="C1" s="174"/>
      <c r="D1" s="174"/>
      <c r="E1" s="111"/>
      <c r="F1" s="111"/>
      <c r="G1" s="111"/>
      <c r="H1" s="111"/>
      <c r="I1" s="111"/>
      <c r="J1" s="111"/>
      <c r="K1" s="111"/>
    </row>
    <row r="2" spans="1:11" x14ac:dyDescent="0.25">
      <c r="A2" s="162" t="str">
        <f>ENTE_PUBLICO_A</f>
        <v>Municipio de San Felipe, Gobierno del Estado de Guanajuato (a)</v>
      </c>
      <c r="B2" s="163"/>
      <c r="C2" s="163"/>
      <c r="D2" s="164"/>
    </row>
    <row r="3" spans="1:11" x14ac:dyDescent="0.25">
      <c r="A3" s="165" t="s">
        <v>166</v>
      </c>
      <c r="B3" s="166"/>
      <c r="C3" s="166"/>
      <c r="D3" s="167"/>
    </row>
    <row r="4" spans="1:11" x14ac:dyDescent="0.25">
      <c r="A4" s="168" t="str">
        <f>TRIMESTRE</f>
        <v>Del 1 de enero al 30 de septiembre de 2018 (b)</v>
      </c>
      <c r="B4" s="169"/>
      <c r="C4" s="169"/>
      <c r="D4" s="170"/>
    </row>
    <row r="5" spans="1:11" x14ac:dyDescent="0.25">
      <c r="A5" s="171" t="s">
        <v>118</v>
      </c>
      <c r="B5" s="172"/>
      <c r="C5" s="172"/>
      <c r="D5" s="173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524013874.34000003</v>
      </c>
      <c r="C8" s="40">
        <f>SUM(C9:C11)</f>
        <v>210000</v>
      </c>
      <c r="D8" s="40">
        <f>SUM(D9:D11)</f>
        <v>440324673.19999999</v>
      </c>
    </row>
    <row r="9" spans="1:11" x14ac:dyDescent="0.25">
      <c r="A9" s="53" t="s">
        <v>169</v>
      </c>
      <c r="B9" s="149">
        <v>221980174.33000001</v>
      </c>
      <c r="C9" s="149">
        <v>210000</v>
      </c>
      <c r="D9" s="149">
        <v>174726992.25</v>
      </c>
    </row>
    <row r="10" spans="1:11" x14ac:dyDescent="0.25">
      <c r="A10" s="53" t="s">
        <v>170</v>
      </c>
      <c r="B10" s="149">
        <v>302033700.00999999</v>
      </c>
      <c r="C10" s="149">
        <v>0</v>
      </c>
      <c r="D10" s="149">
        <v>265597680.94999999</v>
      </c>
    </row>
    <row r="11" spans="1:11" x14ac:dyDescent="0.2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524013874.34000003</v>
      </c>
      <c r="C13" s="40">
        <f>C14+C15</f>
        <v>7213</v>
      </c>
      <c r="D13" s="40">
        <f>D14+D15</f>
        <v>297146137.31999999</v>
      </c>
    </row>
    <row r="14" spans="1:11" x14ac:dyDescent="0.25">
      <c r="A14" s="53" t="s">
        <v>172</v>
      </c>
      <c r="B14" s="149">
        <v>221980174.33000001</v>
      </c>
      <c r="C14" s="149">
        <v>7213</v>
      </c>
      <c r="D14" s="149">
        <v>117824903.38</v>
      </c>
    </row>
    <row r="15" spans="1:11" x14ac:dyDescent="0.25">
      <c r="A15" s="53" t="s">
        <v>173</v>
      </c>
      <c r="B15" s="149">
        <v>302033700.00999999</v>
      </c>
      <c r="C15" s="149">
        <v>0</v>
      </c>
      <c r="D15" s="149">
        <v>179321233.94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156">
        <f>C18+C19</f>
        <v>202787</v>
      </c>
      <c r="D17" s="40">
        <f>D18+D19</f>
        <v>143178535.88</v>
      </c>
    </row>
    <row r="18" spans="1:4" x14ac:dyDescent="0.25">
      <c r="A18" s="53" t="s">
        <v>175</v>
      </c>
      <c r="B18" s="119">
        <v>0</v>
      </c>
      <c r="C18" s="149">
        <v>202787</v>
      </c>
      <c r="D18" s="149">
        <v>56902088.869999997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86276447.010000005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405574</v>
      </c>
      <c r="D21" s="40">
        <f>D8-D13+D17</f>
        <v>286357071.75999999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>C21-C11</f>
        <v>405574</v>
      </c>
      <c r="D23" s="40">
        <f>D21-D11</f>
        <v>286357071.75999999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>C23-C17</f>
        <v>202787</v>
      </c>
      <c r="D25" s="40">
        <f>D23-D17</f>
        <v>143178535.88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>C25+C29</f>
        <v>202787</v>
      </c>
      <c r="D33" s="61">
        <f>D25+D29</f>
        <v>143178535.88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221980174.33000001</v>
      </c>
      <c r="C48" s="124">
        <f>C9</f>
        <v>210000</v>
      </c>
      <c r="D48" s="124">
        <f>D9</f>
        <v>174726992.25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221980174.33000001</v>
      </c>
      <c r="C53" s="60">
        <f>C14</f>
        <v>7213</v>
      </c>
      <c r="D53" s="60">
        <f>D14</f>
        <v>117824903.38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202787</v>
      </c>
      <c r="D55" s="60">
        <f>D18</f>
        <v>56902088.869999997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405574</v>
      </c>
      <c r="D57" s="61">
        <f>D48+D49-D53+D55</f>
        <v>113804177.74000001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>C57-C49</f>
        <v>405574</v>
      </c>
      <c r="D59" s="61">
        <f>D57-D49</f>
        <v>113804177.74000001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302033700.00999999</v>
      </c>
      <c r="C63" s="122">
        <f>C10</f>
        <v>0</v>
      </c>
      <c r="D63" s="122">
        <f>D10</f>
        <v>265597680.94999999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302033700.00999999</v>
      </c>
      <c r="C68" s="23">
        <f>C15</f>
        <v>0</v>
      </c>
      <c r="D68" s="23">
        <f>D15</f>
        <v>179321233.94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0</v>
      </c>
      <c r="D70" s="23">
        <f>D19</f>
        <v>86276447.010000005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0</v>
      </c>
      <c r="D72" s="40">
        <f>D63+D64-D68+D70</f>
        <v>172552894.01999998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>D72-D64</f>
        <v>172552894.01999998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25" right="0.25" top="0.28000000000000003" bottom="0.75" header="0.3" footer="0.3"/>
  <pageSetup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524013874.34000003</v>
      </c>
      <c r="Q2" s="18">
        <f>'Formato 4'!C8</f>
        <v>210000</v>
      </c>
      <c r="R2" s="18">
        <f>'Formato 4'!D8</f>
        <v>440324673.19999999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221980174.33000001</v>
      </c>
      <c r="Q3" s="18">
        <f>'Formato 4'!C9</f>
        <v>210000</v>
      </c>
      <c r="R3" s="18">
        <f>'Formato 4'!D9</f>
        <v>174726992.25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302033700.00999999</v>
      </c>
      <c r="Q4" s="18">
        <f>'Formato 4'!C10</f>
        <v>0</v>
      </c>
      <c r="R4" s="18">
        <f>'Formato 4'!D10</f>
        <v>265597680.94999999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524013874.34000003</v>
      </c>
      <c r="Q6" s="18">
        <f>'Formato 4'!C13</f>
        <v>7213</v>
      </c>
      <c r="R6" s="18">
        <f>'Formato 4'!D13</f>
        <v>297146137.31999999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221980174.33000001</v>
      </c>
      <c r="Q7" s="18">
        <f>'Formato 4'!C14</f>
        <v>7213</v>
      </c>
      <c r="R7" s="18">
        <f>'Formato 4'!D14</f>
        <v>117824903.38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302033700.00999999</v>
      </c>
      <c r="Q8" s="18">
        <f>'Formato 4'!C15</f>
        <v>0</v>
      </c>
      <c r="R8" s="18">
        <f>'Formato 4'!D15</f>
        <v>179321233.94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202787</v>
      </c>
      <c r="R9" s="18">
        <f>'Formato 4'!D17</f>
        <v>143178535.88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202787</v>
      </c>
      <c r="R10" s="18">
        <f>'Formato 4'!D18</f>
        <v>56902088.869999997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86276447.010000005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405574</v>
      </c>
      <c r="R12" s="18">
        <f>'Formato 4'!D21</f>
        <v>286357071.75999999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405574</v>
      </c>
      <c r="R13" s="18">
        <f>'Formato 4'!D23</f>
        <v>286357071.75999999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202787</v>
      </c>
      <c r="R14" s="18">
        <f>'Formato 4'!D25</f>
        <v>143178535.88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202787</v>
      </c>
      <c r="R18">
        <f>'Formato 4'!D33</f>
        <v>143178535.88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221980174.33000001</v>
      </c>
      <c r="Q26">
        <f>'Formato 4'!C48</f>
        <v>210000</v>
      </c>
      <c r="R26">
        <f>'Formato 4'!D48</f>
        <v>174726992.25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221980174.33000001</v>
      </c>
      <c r="Q30">
        <f>'Formato 4'!C53</f>
        <v>7213</v>
      </c>
      <c r="R30">
        <f>'Formato 4'!D53</f>
        <v>117824903.38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202787</v>
      </c>
      <c r="R31">
        <f>'Formato 4'!D55</f>
        <v>56902088.869999997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302033700.00999999</v>
      </c>
      <c r="Q32">
        <f>'Formato 4'!C63</f>
        <v>0</v>
      </c>
      <c r="R32">
        <f>'Formato 4'!D63</f>
        <v>265597680.94999999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302033700.00999999</v>
      </c>
      <c r="Q36">
        <f>'Formato 4'!C68</f>
        <v>0</v>
      </c>
      <c r="R36">
        <f>'Formato 4'!D68</f>
        <v>179321233.94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86276447.010000005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172552894.01999998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172552894.01999998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view="pageBreakPreview" topLeftCell="A37" zoomScale="85" zoomScaleNormal="70" zoomScaleSheetLayoutView="85" workbookViewId="0">
      <selection activeCell="B58" sqref="B58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80" t="s">
        <v>206</v>
      </c>
      <c r="B1" s="180"/>
      <c r="C1" s="180"/>
      <c r="D1" s="180"/>
      <c r="E1" s="180"/>
      <c r="F1" s="180"/>
      <c r="G1" s="180"/>
    </row>
    <row r="2" spans="1:8" x14ac:dyDescent="0.25">
      <c r="A2" s="162" t="str">
        <f>ENTE_PUBLICO_A</f>
        <v>Municipio de San Felipe, Gobierno del Estado de Guanajuato (a)</v>
      </c>
      <c r="B2" s="163"/>
      <c r="C2" s="163"/>
      <c r="D2" s="163"/>
      <c r="E2" s="163"/>
      <c r="F2" s="163"/>
      <c r="G2" s="164"/>
    </row>
    <row r="3" spans="1:8" x14ac:dyDescent="0.25">
      <c r="A3" s="165" t="s">
        <v>207</v>
      </c>
      <c r="B3" s="166"/>
      <c r="C3" s="166"/>
      <c r="D3" s="166"/>
      <c r="E3" s="166"/>
      <c r="F3" s="166"/>
      <c r="G3" s="167"/>
    </row>
    <row r="4" spans="1:8" x14ac:dyDescent="0.25">
      <c r="A4" s="168" t="str">
        <f>TRIMESTRE</f>
        <v>Del 1 de enero al 30 de septiembre de 2018 (b)</v>
      </c>
      <c r="B4" s="169"/>
      <c r="C4" s="169"/>
      <c r="D4" s="169"/>
      <c r="E4" s="169"/>
      <c r="F4" s="169"/>
      <c r="G4" s="170"/>
    </row>
    <row r="5" spans="1:8" x14ac:dyDescent="0.25">
      <c r="A5" s="171" t="s">
        <v>118</v>
      </c>
      <c r="B5" s="172"/>
      <c r="C5" s="172"/>
      <c r="D5" s="172"/>
      <c r="E5" s="172"/>
      <c r="F5" s="172"/>
      <c r="G5" s="173"/>
    </row>
    <row r="6" spans="1:8" x14ac:dyDescent="0.25">
      <c r="A6" s="177" t="s">
        <v>214</v>
      </c>
      <c r="B6" s="179" t="s">
        <v>208</v>
      </c>
      <c r="C6" s="179"/>
      <c r="D6" s="179"/>
      <c r="E6" s="179"/>
      <c r="F6" s="179"/>
      <c r="G6" s="179" t="s">
        <v>209</v>
      </c>
    </row>
    <row r="7" spans="1:8" ht="30" x14ac:dyDescent="0.25">
      <c r="A7" s="178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9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150">
        <v>-15172703.42</v>
      </c>
      <c r="C9" s="150">
        <v>-760548.97</v>
      </c>
      <c r="D9" s="150">
        <v>-15933252.390000001</v>
      </c>
      <c r="E9" s="150">
        <v>0</v>
      </c>
      <c r="F9" s="150">
        <v>-16513533.939999999</v>
      </c>
      <c r="G9" s="60">
        <f>F9-B9</f>
        <v>-1340830.5199999996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150">
        <v>-3092405.33</v>
      </c>
      <c r="C12" s="150">
        <v>-2683406.5</v>
      </c>
      <c r="D12" s="150">
        <v>-5775811.8300000001</v>
      </c>
      <c r="E12" s="150">
        <v>0</v>
      </c>
      <c r="F12" s="150">
        <v>-6105803.2599999998</v>
      </c>
      <c r="G12" s="60">
        <f t="shared" si="0"/>
        <v>-3013397.9299999997</v>
      </c>
    </row>
    <row r="13" spans="1:8" x14ac:dyDescent="0.25">
      <c r="A13" s="53" t="s">
        <v>220</v>
      </c>
      <c r="B13" s="150">
        <v>-7005200.21</v>
      </c>
      <c r="C13" s="150">
        <v>-3313.6100000001024</v>
      </c>
      <c r="D13" s="150">
        <v>-7008513.8200000003</v>
      </c>
      <c r="E13" s="150">
        <v>-210000</v>
      </c>
      <c r="F13" s="150">
        <v>-7918664.54</v>
      </c>
      <c r="G13" s="60">
        <f t="shared" si="0"/>
        <v>-913464.33000000007</v>
      </c>
    </row>
    <row r="14" spans="1:8" x14ac:dyDescent="0.25">
      <c r="A14" s="53" t="s">
        <v>221</v>
      </c>
      <c r="B14" s="150">
        <v>-2933846.08</v>
      </c>
      <c r="C14" s="150">
        <v>1151756.67</v>
      </c>
      <c r="D14" s="150">
        <v>-1782089.41</v>
      </c>
      <c r="E14" s="150">
        <v>0</v>
      </c>
      <c r="F14" s="150">
        <v>-1791853.42</v>
      </c>
      <c r="G14" s="60">
        <f t="shared" si="0"/>
        <v>1141992.6600000001</v>
      </c>
    </row>
    <row r="15" spans="1:8" x14ac:dyDescent="0.2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x14ac:dyDescent="0.25">
      <c r="A16" s="10" t="s">
        <v>275</v>
      </c>
      <c r="B16" s="150">
        <v>-100637117.84999999</v>
      </c>
      <c r="C16" s="150">
        <v>11138377.109999999</v>
      </c>
      <c r="D16" s="150">
        <v>111775494.95999999</v>
      </c>
      <c r="E16" s="150">
        <v>89446085.189999998</v>
      </c>
      <c r="F16" s="150">
        <v>89446085.189999998</v>
      </c>
      <c r="G16" s="60">
        <f t="shared" ref="G16" si="1">SUM(G17:G27)</f>
        <v>0</v>
      </c>
    </row>
    <row r="17" spans="1:7" x14ac:dyDescent="0.25">
      <c r="A17" s="63" t="s">
        <v>223</v>
      </c>
      <c r="B17" s="150"/>
      <c r="C17" s="150"/>
      <c r="D17" s="150"/>
      <c r="E17" s="150"/>
      <c r="F17" s="150"/>
      <c r="G17" s="60">
        <f>F17-B17</f>
        <v>0</v>
      </c>
    </row>
    <row r="18" spans="1:7" x14ac:dyDescent="0.25">
      <c r="A18" s="63" t="s">
        <v>224</v>
      </c>
      <c r="B18" s="60"/>
      <c r="C18" s="60"/>
      <c r="D18" s="60"/>
      <c r="E18" s="60"/>
      <c r="F18" s="60"/>
      <c r="G18" s="60">
        <f t="shared" ref="G18:G27" si="2">F18-B18</f>
        <v>0</v>
      </c>
    </row>
    <row r="19" spans="1:7" x14ac:dyDescent="0.25">
      <c r="A19" s="63" t="s">
        <v>225</v>
      </c>
      <c r="B19" s="60"/>
      <c r="C19" s="60"/>
      <c r="D19" s="60"/>
      <c r="E19" s="60"/>
      <c r="F19" s="60"/>
      <c r="G19" s="60">
        <f t="shared" si="2"/>
        <v>0</v>
      </c>
    </row>
    <row r="20" spans="1:7" x14ac:dyDescent="0.25">
      <c r="A20" s="63" t="s">
        <v>226</v>
      </c>
      <c r="B20" s="60"/>
      <c r="C20" s="60"/>
      <c r="D20" s="60"/>
      <c r="E20" s="60"/>
      <c r="F20" s="60"/>
      <c r="G20" s="60">
        <f t="shared" si="2"/>
        <v>0</v>
      </c>
    </row>
    <row r="21" spans="1:7" x14ac:dyDescent="0.25">
      <c r="A21" s="63" t="s">
        <v>227</v>
      </c>
      <c r="B21" s="60"/>
      <c r="C21" s="60"/>
      <c r="D21" s="60"/>
      <c r="E21" s="60"/>
      <c r="F21" s="60"/>
      <c r="G21" s="60">
        <f t="shared" si="2"/>
        <v>0</v>
      </c>
    </row>
    <row r="22" spans="1:7" x14ac:dyDescent="0.25">
      <c r="A22" s="63" t="s">
        <v>228</v>
      </c>
      <c r="B22" s="60"/>
      <c r="C22" s="60"/>
      <c r="D22" s="60"/>
      <c r="E22" s="60"/>
      <c r="F22" s="60"/>
      <c r="G22" s="60">
        <f t="shared" si="2"/>
        <v>0</v>
      </c>
    </row>
    <row r="23" spans="1:7" x14ac:dyDescent="0.25">
      <c r="A23" s="63" t="s">
        <v>229</v>
      </c>
      <c r="B23" s="60"/>
      <c r="C23" s="60"/>
      <c r="D23" s="60"/>
      <c r="E23" s="60"/>
      <c r="F23" s="60"/>
      <c r="G23" s="60">
        <f t="shared" si="2"/>
        <v>0</v>
      </c>
    </row>
    <row r="24" spans="1:7" x14ac:dyDescent="0.25">
      <c r="A24" s="63" t="s">
        <v>230</v>
      </c>
      <c r="B24" s="60"/>
      <c r="C24" s="60"/>
      <c r="D24" s="60"/>
      <c r="E24" s="60"/>
      <c r="F24" s="60"/>
      <c r="G24" s="60">
        <f t="shared" si="2"/>
        <v>0</v>
      </c>
    </row>
    <row r="25" spans="1:7" x14ac:dyDescent="0.25">
      <c r="A25" s="63" t="s">
        <v>231</v>
      </c>
      <c r="B25" s="60"/>
      <c r="C25" s="60"/>
      <c r="D25" s="60"/>
      <c r="E25" s="60"/>
      <c r="F25" s="60"/>
      <c r="G25" s="60">
        <f t="shared" si="2"/>
        <v>0</v>
      </c>
    </row>
    <row r="26" spans="1:7" x14ac:dyDescent="0.25">
      <c r="A26" s="63" t="s">
        <v>232</v>
      </c>
      <c r="B26" s="60"/>
      <c r="C26" s="60"/>
      <c r="D26" s="60"/>
      <c r="E26" s="60"/>
      <c r="F26" s="60"/>
      <c r="G26" s="60">
        <f t="shared" si="2"/>
        <v>0</v>
      </c>
    </row>
    <row r="27" spans="1:7" x14ac:dyDescent="0.25">
      <c r="A27" s="63" t="s">
        <v>233</v>
      </c>
      <c r="B27" s="60"/>
      <c r="C27" s="60"/>
      <c r="D27" s="60"/>
      <c r="E27" s="60"/>
      <c r="F27" s="60"/>
      <c r="G27" s="60">
        <f t="shared" si="2"/>
        <v>0</v>
      </c>
    </row>
    <row r="28" spans="1:7" x14ac:dyDescent="0.25">
      <c r="A28" s="53" t="s">
        <v>234</v>
      </c>
      <c r="B28" s="60">
        <f t="shared" ref="B28:G28" si="3">SUM(B29:B33)</f>
        <v>0</v>
      </c>
      <c r="C28" s="60">
        <f t="shared" si="3"/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>
        <f t="shared" ref="G29:G34" si="4">F29-B29</f>
        <v>0</v>
      </c>
    </row>
    <row r="30" spans="1:7" x14ac:dyDescent="0.25">
      <c r="A30" s="63" t="s">
        <v>236</v>
      </c>
      <c r="B30" s="60"/>
      <c r="C30" s="60"/>
      <c r="D30" s="60"/>
      <c r="E30" s="60"/>
      <c r="F30" s="60"/>
      <c r="G30" s="60">
        <f t="shared" si="4"/>
        <v>0</v>
      </c>
    </row>
    <row r="31" spans="1:7" x14ac:dyDescent="0.25">
      <c r="A31" s="63" t="s">
        <v>237</v>
      </c>
      <c r="B31" s="60"/>
      <c r="C31" s="60"/>
      <c r="D31" s="60"/>
      <c r="E31" s="60"/>
      <c r="F31" s="60"/>
      <c r="G31" s="60">
        <f t="shared" si="4"/>
        <v>0</v>
      </c>
    </row>
    <row r="32" spans="1:7" x14ac:dyDescent="0.25">
      <c r="A32" s="63" t="s">
        <v>238</v>
      </c>
      <c r="B32" s="60"/>
      <c r="C32" s="60"/>
      <c r="D32" s="60"/>
      <c r="E32" s="60"/>
      <c r="F32" s="60"/>
      <c r="G32" s="60">
        <f t="shared" si="4"/>
        <v>0</v>
      </c>
    </row>
    <row r="33" spans="1:8" x14ac:dyDescent="0.25">
      <c r="A33" s="63" t="s">
        <v>239</v>
      </c>
      <c r="B33" s="60"/>
      <c r="C33" s="60"/>
      <c r="D33" s="60">
        <v>0</v>
      </c>
      <c r="E33" s="60"/>
      <c r="F33" s="60"/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 t="shared" ref="B35:G35" si="5">B36</f>
        <v>-29289633.780000001</v>
      </c>
      <c r="C35" s="60">
        <f t="shared" si="5"/>
        <v>-15059040.310000002</v>
      </c>
      <c r="D35" s="60">
        <f t="shared" si="5"/>
        <v>-44348674.090000004</v>
      </c>
      <c r="E35" s="60">
        <f t="shared" si="5"/>
        <v>0</v>
      </c>
      <c r="F35" s="60">
        <f t="shared" si="5"/>
        <v>-17594714.07</v>
      </c>
      <c r="G35" s="60">
        <f t="shared" si="5"/>
        <v>11694919.710000001</v>
      </c>
    </row>
    <row r="36" spans="1:8" x14ac:dyDescent="0.25">
      <c r="A36" s="63" t="s">
        <v>242</v>
      </c>
      <c r="B36" s="150">
        <v>-29289633.780000001</v>
      </c>
      <c r="C36" s="150">
        <v>-15059040.310000002</v>
      </c>
      <c r="D36" s="150">
        <v>-44348674.090000004</v>
      </c>
      <c r="E36" s="150">
        <v>0</v>
      </c>
      <c r="F36" s="150">
        <v>-17594714.07</v>
      </c>
      <c r="G36" s="60">
        <f>F36-B36</f>
        <v>11694919.710000001</v>
      </c>
    </row>
    <row r="37" spans="1:8" x14ac:dyDescent="0.25">
      <c r="A37" s="53" t="s">
        <v>243</v>
      </c>
      <c r="B37" s="60">
        <f t="shared" ref="B37:G37" si="6">B38+B39</f>
        <v>0</v>
      </c>
      <c r="C37" s="60">
        <f t="shared" si="6"/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/>
      <c r="C39" s="60"/>
      <c r="D39" s="60">
        <v>0</v>
      </c>
      <c r="E39" s="60"/>
      <c r="F39" s="60"/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157">
        <f>SUM(B9,B10,B11,B12,B13,B14,B15,B16,B28,B34,B35,B37)</f>
        <v>-158130906.66999999</v>
      </c>
      <c r="C41" s="61">
        <f t="shared" ref="C41:G41" si="7">SUM(C9,C10,C11,C12,C13,C14,C15,C16,C28,C34,C35,C37)</f>
        <v>-6216175.6100000031</v>
      </c>
      <c r="D41" s="61">
        <f t="shared" si="7"/>
        <v>36927153.419999987</v>
      </c>
      <c r="E41" s="61">
        <f t="shared" si="7"/>
        <v>89236085.189999998</v>
      </c>
      <c r="F41" s="61">
        <f t="shared" si="7"/>
        <v>39521515.960000001</v>
      </c>
      <c r="G41" s="61">
        <f t="shared" si="7"/>
        <v>7569219.5900000017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7569219.5900000017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 t="shared" ref="B45:G45" si="8">SUM(B46:B53)</f>
        <v>-186067446.07999998</v>
      </c>
      <c r="C45" s="60">
        <f t="shared" si="8"/>
        <v>-3860925.08</v>
      </c>
      <c r="D45" s="60">
        <f t="shared" si="8"/>
        <v>-188214198</v>
      </c>
      <c r="E45" s="60">
        <f t="shared" si="8"/>
        <v>0</v>
      </c>
      <c r="F45" s="60">
        <f t="shared" si="8"/>
        <v>-159227910</v>
      </c>
      <c r="G45" s="60">
        <f t="shared" si="8"/>
        <v>26839536.079999998</v>
      </c>
    </row>
    <row r="46" spans="1:8" x14ac:dyDescent="0.25">
      <c r="A46" s="69" t="s">
        <v>249</v>
      </c>
      <c r="B46" s="60"/>
      <c r="C46" s="60"/>
      <c r="D46" s="60">
        <v>0</v>
      </c>
      <c r="E46" s="60"/>
      <c r="F46" s="60"/>
      <c r="G46" s="60">
        <f>F46-B46</f>
        <v>0</v>
      </c>
    </row>
    <row r="47" spans="1:8" x14ac:dyDescent="0.25">
      <c r="A47" s="69" t="s">
        <v>250</v>
      </c>
      <c r="B47" s="60"/>
      <c r="C47" s="60"/>
      <c r="D47" s="60">
        <v>0</v>
      </c>
      <c r="E47" s="60"/>
      <c r="F47" s="60"/>
      <c r="G47" s="60">
        <f t="shared" ref="G47:G53" si="9">F47-B47</f>
        <v>0</v>
      </c>
    </row>
    <row r="48" spans="1:8" x14ac:dyDescent="0.25">
      <c r="A48" s="69" t="s">
        <v>251</v>
      </c>
      <c r="B48" s="60">
        <v>-121305483.58</v>
      </c>
      <c r="C48" s="60">
        <v>-857086.58</v>
      </c>
      <c r="D48" s="60">
        <v>-120448397</v>
      </c>
      <c r="E48" s="60">
        <v>0</v>
      </c>
      <c r="F48" s="60">
        <v>-108403560</v>
      </c>
      <c r="G48" s="60">
        <f t="shared" si="9"/>
        <v>12901923.579999998</v>
      </c>
    </row>
    <row r="49" spans="1:7" ht="30" x14ac:dyDescent="0.25">
      <c r="A49" s="69" t="s">
        <v>252</v>
      </c>
      <c r="B49" s="60">
        <v>-64761962.5</v>
      </c>
      <c r="C49" s="60">
        <v>-3003838.5</v>
      </c>
      <c r="D49" s="60">
        <v>-67765801</v>
      </c>
      <c r="E49" s="60">
        <v>0</v>
      </c>
      <c r="F49" s="60">
        <v>-50824350</v>
      </c>
      <c r="G49" s="60">
        <f t="shared" si="9"/>
        <v>13937612.5</v>
      </c>
    </row>
    <row r="50" spans="1:7" x14ac:dyDescent="0.25">
      <c r="A50" s="69" t="s">
        <v>253</v>
      </c>
      <c r="B50" s="60"/>
      <c r="C50" s="60"/>
      <c r="D50" s="60">
        <v>0</v>
      </c>
      <c r="E50" s="60"/>
      <c r="F50" s="60"/>
      <c r="G50" s="60">
        <f t="shared" si="9"/>
        <v>0</v>
      </c>
    </row>
    <row r="51" spans="1:7" x14ac:dyDescent="0.25">
      <c r="A51" s="69" t="s">
        <v>254</v>
      </c>
      <c r="B51" s="60"/>
      <c r="C51" s="60"/>
      <c r="D51" s="60">
        <v>0</v>
      </c>
      <c r="E51" s="60"/>
      <c r="F51" s="60"/>
      <c r="G51" s="60">
        <f t="shared" si="9"/>
        <v>0</v>
      </c>
    </row>
    <row r="52" spans="1:7" x14ac:dyDescent="0.25">
      <c r="A52" s="48" t="s">
        <v>255</v>
      </c>
      <c r="B52" s="60"/>
      <c r="C52" s="60"/>
      <c r="D52" s="60">
        <v>0</v>
      </c>
      <c r="E52" s="60"/>
      <c r="F52" s="60"/>
      <c r="G52" s="60">
        <f t="shared" si="9"/>
        <v>0</v>
      </c>
    </row>
    <row r="53" spans="1:7" x14ac:dyDescent="0.25">
      <c r="A53" s="63" t="s">
        <v>256</v>
      </c>
      <c r="B53" s="60"/>
      <c r="C53" s="60"/>
      <c r="D53" s="60">
        <v>0</v>
      </c>
      <c r="E53" s="60"/>
      <c r="F53" s="60"/>
      <c r="G53" s="60">
        <f t="shared" si="9"/>
        <v>0</v>
      </c>
    </row>
    <row r="54" spans="1:7" x14ac:dyDescent="0.25">
      <c r="A54" s="53" t="s">
        <v>257</v>
      </c>
      <c r="B54" s="60">
        <f t="shared" ref="B54:G54" si="10">SUM(B55:B58)</f>
        <v>-16750000</v>
      </c>
      <c r="C54" s="60">
        <f>SUM(C55:C58)</f>
        <v>-11385202.73</v>
      </c>
      <c r="D54" s="60">
        <f t="shared" si="10"/>
        <v>-28135202.73</v>
      </c>
      <c r="E54" s="60">
        <f t="shared" si="10"/>
        <v>-21161525.300000001</v>
      </c>
      <c r="F54" s="60">
        <f t="shared" si="10"/>
        <v>-21161525.300000001</v>
      </c>
      <c r="G54" s="60">
        <f t="shared" si="10"/>
        <v>-4411525.3000000007</v>
      </c>
    </row>
    <row r="55" spans="1:7" x14ac:dyDescent="0.25">
      <c r="A55" s="48" t="s">
        <v>258</v>
      </c>
      <c r="B55" s="60"/>
      <c r="C55" s="60"/>
      <c r="D55" s="60">
        <v>0</v>
      </c>
      <c r="E55" s="60"/>
      <c r="F55" s="60"/>
      <c r="G55" s="60">
        <f>F55-B55</f>
        <v>0</v>
      </c>
    </row>
    <row r="56" spans="1:7" x14ac:dyDescent="0.25">
      <c r="A56" s="69" t="s">
        <v>259</v>
      </c>
      <c r="B56" s="60"/>
      <c r="C56" s="60"/>
      <c r="D56" s="60">
        <v>0</v>
      </c>
      <c r="E56" s="60"/>
      <c r="F56" s="60"/>
      <c r="G56" s="60">
        <f>F56-B56</f>
        <v>0</v>
      </c>
    </row>
    <row r="57" spans="1:7" x14ac:dyDescent="0.25">
      <c r="A57" s="69" t="s">
        <v>260</v>
      </c>
      <c r="B57" s="60"/>
      <c r="C57" s="60"/>
      <c r="D57" s="60">
        <v>0</v>
      </c>
      <c r="E57" s="60"/>
      <c r="F57" s="60"/>
      <c r="G57" s="60">
        <f>F57-B57</f>
        <v>0</v>
      </c>
    </row>
    <row r="58" spans="1:7" x14ac:dyDescent="0.25">
      <c r="A58" s="48" t="s">
        <v>261</v>
      </c>
      <c r="B58" s="150">
        <v>-16750000</v>
      </c>
      <c r="C58" s="150">
        <v>-11385202.73</v>
      </c>
      <c r="D58" s="150">
        <v>-28135202.73</v>
      </c>
      <c r="E58" s="150">
        <v>-21161525.300000001</v>
      </c>
      <c r="F58" s="150">
        <v>-21161525.300000001</v>
      </c>
      <c r="G58" s="60">
        <f>F58-B58</f>
        <v>-4411525.3000000007</v>
      </c>
    </row>
    <row r="59" spans="1:7" x14ac:dyDescent="0.25">
      <c r="A59" s="53" t="s">
        <v>262</v>
      </c>
      <c r="B59" s="60">
        <f t="shared" ref="B59:G59" si="11">SUM(B60:B61)</f>
        <v>0</v>
      </c>
      <c r="C59" s="60">
        <f t="shared" si="11"/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/>
      <c r="C60" s="60"/>
      <c r="D60" s="60">
        <v>0</v>
      </c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>
        <v>0</v>
      </c>
      <c r="E61" s="60"/>
      <c r="F61" s="60"/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/>
      <c r="C63" s="60"/>
      <c r="D63" s="60">
        <v>0</v>
      </c>
      <c r="E63" s="60"/>
      <c r="F63" s="60"/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2">B45+B54+B59+B62+B63</f>
        <v>-202817446.07999998</v>
      </c>
      <c r="C65" s="61">
        <f t="shared" si="12"/>
        <v>-15246127.810000001</v>
      </c>
      <c r="D65" s="61">
        <f t="shared" si="12"/>
        <v>-216349400.72999999</v>
      </c>
      <c r="E65" s="61">
        <f t="shared" si="12"/>
        <v>-21161525.300000001</v>
      </c>
      <c r="F65" s="61">
        <f t="shared" si="12"/>
        <v>-180389435.30000001</v>
      </c>
      <c r="G65" s="61">
        <f t="shared" si="12"/>
        <v>22428010.779999997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 t="shared" ref="B67:G67" si="13">B68</f>
        <v>-7900046.4900000002</v>
      </c>
      <c r="C67" s="61">
        <f t="shared" si="13"/>
        <v>-111671387.62</v>
      </c>
      <c r="D67" s="61">
        <f t="shared" si="13"/>
        <v>-119571434.11</v>
      </c>
      <c r="E67" s="61">
        <f t="shared" si="13"/>
        <v>-118445594.73</v>
      </c>
      <c r="F67" s="61">
        <f t="shared" si="13"/>
        <v>-118445594.73</v>
      </c>
      <c r="G67" s="61">
        <f t="shared" si="13"/>
        <v>-110545548.24000001</v>
      </c>
    </row>
    <row r="68" spans="1:7" x14ac:dyDescent="0.25">
      <c r="A68" s="53" t="s">
        <v>269</v>
      </c>
      <c r="B68" s="150">
        <v>-7900046.4900000002</v>
      </c>
      <c r="C68" s="150">
        <v>-111671387.62</v>
      </c>
      <c r="D68" s="150">
        <v>-119571434.11</v>
      </c>
      <c r="E68" s="150">
        <v>-118445594.73</v>
      </c>
      <c r="F68" s="150">
        <v>-118445594.73</v>
      </c>
      <c r="G68" s="60">
        <f>F68-B68</f>
        <v>-110545548.24000001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-368848399.24000001</v>
      </c>
      <c r="C70" s="61">
        <f t="shared" ref="C70:G70" si="14">C41+C65+C67</f>
        <v>-133133691.04000001</v>
      </c>
      <c r="D70" s="61">
        <f t="shared" si="14"/>
        <v>-298993681.42000002</v>
      </c>
      <c r="E70" s="61">
        <f>E41+E65+E67</f>
        <v>-50371034.840000004</v>
      </c>
      <c r="F70" s="61">
        <f t="shared" si="14"/>
        <v>-259313514.06999999</v>
      </c>
      <c r="G70" s="61">
        <f t="shared" si="14"/>
        <v>-80548317.870000005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150">
        <v>-7900046.4900000002</v>
      </c>
      <c r="C73" s="150">
        <v>-27456291.339999996</v>
      </c>
      <c r="D73" s="150">
        <v>-35356337.829999998</v>
      </c>
      <c r="E73" s="150">
        <v>0</v>
      </c>
      <c r="F73" s="150">
        <v>-35356337.829999998</v>
      </c>
      <c r="G73" s="60">
        <f>F73-B73</f>
        <v>-27456291.339999996</v>
      </c>
    </row>
    <row r="74" spans="1:7" ht="30" x14ac:dyDescent="0.25">
      <c r="A74" s="130" t="s">
        <v>273</v>
      </c>
      <c r="B74" s="60">
        <v>0</v>
      </c>
      <c r="C74" s="150">
        <v>-84221893.359999999</v>
      </c>
      <c r="D74" s="150">
        <v>-84215096.280000001</v>
      </c>
      <c r="E74" s="150">
        <v>0</v>
      </c>
      <c r="F74" s="150">
        <v>-83089256.900000006</v>
      </c>
      <c r="G74" s="60">
        <f>F74-B74</f>
        <v>-83089256.900000006</v>
      </c>
    </row>
    <row r="75" spans="1:7" x14ac:dyDescent="0.25">
      <c r="A75" s="120" t="s">
        <v>274</v>
      </c>
      <c r="B75" s="61">
        <f t="shared" ref="B75:G75" si="15">B73+B74</f>
        <v>-7900046.4900000002</v>
      </c>
      <c r="C75" s="61">
        <f t="shared" si="15"/>
        <v>-111678184.69999999</v>
      </c>
      <c r="D75" s="61">
        <f t="shared" si="15"/>
        <v>-119571434.11</v>
      </c>
      <c r="E75" s="61">
        <f t="shared" si="15"/>
        <v>0</v>
      </c>
      <c r="F75" s="61">
        <f t="shared" si="15"/>
        <v>-118445594.73</v>
      </c>
      <c r="G75" s="61">
        <f t="shared" si="15"/>
        <v>-110545548.24000001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15748031496062992" right="0.15748031496062992" top="0.6692913385826772" bottom="0.74803149606299213" header="0.23622047244094491" footer="0.31496062992125984"/>
  <pageSetup scale="62" fitToHeight="2" orientation="landscape" r:id="rId1"/>
  <rowBreaks count="1" manualBreakCount="1">
    <brk id="4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-15172703.42</v>
      </c>
      <c r="Q3" s="18">
        <f>'Formato 5'!C9</f>
        <v>-760548.97</v>
      </c>
      <c r="R3" s="18">
        <f>'Formato 5'!D9</f>
        <v>-15933252.390000001</v>
      </c>
      <c r="S3" s="18">
        <f>'Formato 5'!E9</f>
        <v>0</v>
      </c>
      <c r="T3" s="18">
        <f>'Formato 5'!F9</f>
        <v>-16513533.939999999</v>
      </c>
      <c r="U3" s="18">
        <f>'Formato 5'!G9</f>
        <v>-1340830.5199999996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-3092405.33</v>
      </c>
      <c r="Q6" s="18">
        <f>'Formato 5'!C12</f>
        <v>-2683406.5</v>
      </c>
      <c r="R6" s="18">
        <f>'Formato 5'!D12</f>
        <v>-5775811.8300000001</v>
      </c>
      <c r="S6" s="18">
        <f>'Formato 5'!E12</f>
        <v>0</v>
      </c>
      <c r="T6" s="18">
        <f>'Formato 5'!F12</f>
        <v>-6105803.2599999998</v>
      </c>
      <c r="U6" s="18">
        <f>'Formato 5'!G12</f>
        <v>-3013397.9299999997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-7005200.21</v>
      </c>
      <c r="Q7" s="18">
        <f>'Formato 5'!C13</f>
        <v>-3313.6100000001024</v>
      </c>
      <c r="R7" s="18">
        <f>'Formato 5'!D13</f>
        <v>-7008513.8200000003</v>
      </c>
      <c r="S7" s="18">
        <f>'Formato 5'!E13</f>
        <v>-210000</v>
      </c>
      <c r="T7" s="18">
        <f>'Formato 5'!F13</f>
        <v>-7918664.54</v>
      </c>
      <c r="U7" s="18">
        <f>'Formato 5'!G13</f>
        <v>-913464.33000000007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-2933846.08</v>
      </c>
      <c r="Q8" s="18">
        <f>'Formato 5'!C14</f>
        <v>1151756.67</v>
      </c>
      <c r="R8" s="18">
        <f>'Formato 5'!D14</f>
        <v>-1782089.41</v>
      </c>
      <c r="S8" s="18">
        <f>'Formato 5'!E14</f>
        <v>0</v>
      </c>
      <c r="T8" s="18">
        <f>'Formato 5'!F14</f>
        <v>-1791853.42</v>
      </c>
      <c r="U8" s="18">
        <f>'Formato 5'!G14</f>
        <v>1141992.6600000001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-100637117.84999999</v>
      </c>
      <c r="Q10" s="18">
        <f>'Formato 5'!C16</f>
        <v>11138377.109999999</v>
      </c>
      <c r="R10" s="18">
        <f>'Formato 5'!D16</f>
        <v>111775494.95999999</v>
      </c>
      <c r="S10" s="18">
        <f>'Formato 5'!E16</f>
        <v>89446085.189999998</v>
      </c>
      <c r="T10" s="18">
        <f>'Formato 5'!F16</f>
        <v>89446085.189999998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-29289633.780000001</v>
      </c>
      <c r="Q29" s="18">
        <f>'Formato 5'!C35</f>
        <v>-15059040.310000002</v>
      </c>
      <c r="R29" s="18">
        <f>'Formato 5'!D35</f>
        <v>-44348674.090000004</v>
      </c>
      <c r="S29" s="18">
        <f>'Formato 5'!E35</f>
        <v>0</v>
      </c>
      <c r="T29" s="18">
        <f>'Formato 5'!F35</f>
        <v>-17594714.07</v>
      </c>
      <c r="U29" s="18">
        <f>'Formato 5'!G35</f>
        <v>11694919.710000001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-29289633.780000001</v>
      </c>
      <c r="Q30" s="18">
        <f>'Formato 5'!C36</f>
        <v>-15059040.310000002</v>
      </c>
      <c r="R30" s="18">
        <f>'Formato 5'!D36</f>
        <v>-44348674.090000004</v>
      </c>
      <c r="S30" s="18">
        <f>'Formato 5'!E36</f>
        <v>0</v>
      </c>
      <c r="T30" s="18">
        <f>'Formato 5'!F36</f>
        <v>-17594714.07</v>
      </c>
      <c r="U30" s="18">
        <f>'Formato 5'!G36</f>
        <v>11694919.710000001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-158130906.66999999</v>
      </c>
      <c r="Q34">
        <f>'Formato 5'!C41</f>
        <v>-6216175.6100000031</v>
      </c>
      <c r="R34">
        <f>'Formato 5'!D41</f>
        <v>36927153.419999987</v>
      </c>
      <c r="S34">
        <f>'Formato 5'!E41</f>
        <v>89236085.189999998</v>
      </c>
      <c r="T34">
        <f>'Formato 5'!F41</f>
        <v>39521515.960000001</v>
      </c>
      <c r="U34">
        <f>'Formato 5'!G41</f>
        <v>7569219.5900000017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7569219.5900000017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-186067446.07999998</v>
      </c>
      <c r="Q37">
        <f>'Formato 5'!C45</f>
        <v>-3860925.08</v>
      </c>
      <c r="R37">
        <f>'Formato 5'!D45</f>
        <v>-188214198</v>
      </c>
      <c r="S37">
        <f>'Formato 5'!E45</f>
        <v>0</v>
      </c>
      <c r="T37">
        <f>'Formato 5'!F45</f>
        <v>-159227910</v>
      </c>
      <c r="U37">
        <f>'Formato 5'!G45</f>
        <v>26839536.079999998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-121305483.58</v>
      </c>
      <c r="Q40">
        <f>'Formato 5'!C48</f>
        <v>-857086.58</v>
      </c>
      <c r="R40">
        <f>'Formato 5'!D48</f>
        <v>-120448397</v>
      </c>
      <c r="S40">
        <f>'Formato 5'!E48</f>
        <v>0</v>
      </c>
      <c r="T40">
        <f>'Formato 5'!F48</f>
        <v>-108403560</v>
      </c>
      <c r="U40">
        <f>'Formato 5'!G48</f>
        <v>12901923.579999998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-64761962.5</v>
      </c>
      <c r="Q41">
        <f>'Formato 5'!C49</f>
        <v>-3003838.5</v>
      </c>
      <c r="R41">
        <f>'Formato 5'!D49</f>
        <v>-67765801</v>
      </c>
      <c r="S41">
        <f>'Formato 5'!E49</f>
        <v>0</v>
      </c>
      <c r="T41">
        <f>'Formato 5'!F49</f>
        <v>-50824350</v>
      </c>
      <c r="U41">
        <f>'Formato 5'!G49</f>
        <v>13937612.5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-16750000</v>
      </c>
      <c r="Q46">
        <f>'Formato 5'!C54</f>
        <v>-11385202.73</v>
      </c>
      <c r="R46">
        <f>'Formato 5'!D54</f>
        <v>-28135202.73</v>
      </c>
      <c r="S46">
        <f>'Formato 5'!E54</f>
        <v>-21161525.300000001</v>
      </c>
      <c r="T46">
        <f>'Formato 5'!F54</f>
        <v>-21161525.300000001</v>
      </c>
      <c r="U46">
        <f>'Formato 5'!G54</f>
        <v>-4411525.3000000007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-16750000</v>
      </c>
      <c r="Q50">
        <f>'Formato 5'!C58</f>
        <v>-11385202.73</v>
      </c>
      <c r="R50">
        <f>'Formato 5'!D58</f>
        <v>-28135202.73</v>
      </c>
      <c r="S50">
        <f>'Formato 5'!E58</f>
        <v>-21161525.300000001</v>
      </c>
      <c r="T50">
        <f>'Formato 5'!F58</f>
        <v>-21161525.300000001</v>
      </c>
      <c r="U50">
        <f>'Formato 5'!G58</f>
        <v>-4411525.3000000007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-202817446.07999998</v>
      </c>
      <c r="Q56">
        <f>'Formato 5'!C65</f>
        <v>-15246127.810000001</v>
      </c>
      <c r="R56">
        <f>'Formato 5'!D65</f>
        <v>-216349400.72999999</v>
      </c>
      <c r="S56">
        <f>'Formato 5'!E65</f>
        <v>-21161525.300000001</v>
      </c>
      <c r="T56">
        <f>'Formato 5'!F65</f>
        <v>-180389435.30000001</v>
      </c>
      <c r="U56">
        <f>'Formato 5'!G65</f>
        <v>22428010.779999997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-7900046.4900000002</v>
      </c>
      <c r="Q57">
        <f>'Formato 5'!C67</f>
        <v>-111671387.62</v>
      </c>
      <c r="R57">
        <f>'Formato 5'!D67</f>
        <v>-119571434.11</v>
      </c>
      <c r="S57">
        <f>'Formato 5'!E67</f>
        <v>-118445594.73</v>
      </c>
      <c r="T57">
        <f>'Formato 5'!F67</f>
        <v>-118445594.73</v>
      </c>
      <c r="U57">
        <f>'Formato 5'!G67</f>
        <v>-110545548.24000001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-7900046.4900000002</v>
      </c>
      <c r="Q58">
        <f>'Formato 5'!C68</f>
        <v>-111671387.62</v>
      </c>
      <c r="R58">
        <f>'Formato 5'!D68</f>
        <v>-119571434.11</v>
      </c>
      <c r="S58">
        <f>'Formato 5'!E68</f>
        <v>-118445594.73</v>
      </c>
      <c r="T58">
        <f>'Formato 5'!F68</f>
        <v>-118445594.73</v>
      </c>
      <c r="U58">
        <f>'Formato 5'!G68</f>
        <v>-110545548.24000001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-7900046.4900000002</v>
      </c>
      <c r="Q60">
        <f>'Formato 5'!C73</f>
        <v>-27456291.339999996</v>
      </c>
      <c r="R60">
        <f>'Formato 5'!D73</f>
        <v>-35356337.829999998</v>
      </c>
      <c r="S60">
        <f>'Formato 5'!E73</f>
        <v>0</v>
      </c>
      <c r="T60">
        <f>'Formato 5'!F73</f>
        <v>-35356337.829999998</v>
      </c>
      <c r="U60">
        <f>'Formato 5'!G73</f>
        <v>-27456291.339999996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-84221893.359999999</v>
      </c>
      <c r="R61">
        <f>'Formato 5'!D74</f>
        <v>-84215096.280000001</v>
      </c>
      <c r="S61">
        <f>'Formato 5'!E74</f>
        <v>0</v>
      </c>
      <c r="T61">
        <f>'Formato 5'!F74</f>
        <v>-83089256.900000006</v>
      </c>
      <c r="U61">
        <f>'Formato 5'!G74</f>
        <v>-83089256.900000006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-7900046.4900000002</v>
      </c>
      <c r="Q62">
        <f>'Formato 5'!C75</f>
        <v>-111678184.69999999</v>
      </c>
      <c r="R62">
        <f>'Formato 5'!D75</f>
        <v>-119571434.11</v>
      </c>
      <c r="S62">
        <f>'Formato 5'!E75</f>
        <v>0</v>
      </c>
      <c r="T62">
        <f>'Formato 5'!F75</f>
        <v>-118445594.73</v>
      </c>
      <c r="U62">
        <f>'Formato 5'!G75</f>
        <v>-110545548.24000001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view="pageBreakPreview" topLeftCell="A7" zoomScale="70" zoomScaleNormal="70" zoomScaleSheetLayoutView="70" zoomScalePageLayoutView="90" workbookViewId="0">
      <pane ySplit="825" topLeftCell="A61" activePane="bottomLeft"/>
      <selection activeCell="A6" sqref="A6:G6"/>
      <selection pane="bottomLeft" activeCell="D9" sqref="D9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1" t="s">
        <v>3285</v>
      </c>
      <c r="B1" s="180"/>
      <c r="C1" s="180"/>
      <c r="D1" s="180"/>
      <c r="E1" s="180"/>
      <c r="F1" s="180"/>
      <c r="G1" s="180"/>
    </row>
    <row r="2" spans="1:7" x14ac:dyDescent="0.25">
      <c r="A2" s="184" t="str">
        <f>ENTE_PUBLICO_A</f>
        <v>Municipio de San Felipe, Gobierno del Estado de Guanajuato (a)</v>
      </c>
      <c r="B2" s="184"/>
      <c r="C2" s="184"/>
      <c r="D2" s="184"/>
      <c r="E2" s="184"/>
      <c r="F2" s="184"/>
      <c r="G2" s="184"/>
    </row>
    <row r="3" spans="1:7" x14ac:dyDescent="0.25">
      <c r="A3" s="185" t="s">
        <v>277</v>
      </c>
      <c r="B3" s="185"/>
      <c r="C3" s="185"/>
      <c r="D3" s="185"/>
      <c r="E3" s="185"/>
      <c r="F3" s="185"/>
      <c r="G3" s="185"/>
    </row>
    <row r="4" spans="1:7" x14ac:dyDescent="0.25">
      <c r="A4" s="185" t="s">
        <v>278</v>
      </c>
      <c r="B4" s="185"/>
      <c r="C4" s="185"/>
      <c r="D4" s="185"/>
      <c r="E4" s="185"/>
      <c r="F4" s="185"/>
      <c r="G4" s="185"/>
    </row>
    <row r="5" spans="1:7" x14ac:dyDescent="0.25">
      <c r="A5" s="186" t="str">
        <f>TRIMESTRE</f>
        <v>Del 1 de enero al 30 de septiembre de 2018 (b)</v>
      </c>
      <c r="B5" s="186"/>
      <c r="C5" s="186"/>
      <c r="D5" s="186"/>
      <c r="E5" s="186"/>
      <c r="F5" s="186"/>
      <c r="G5" s="186"/>
    </row>
    <row r="6" spans="1:7" x14ac:dyDescent="0.25">
      <c r="A6" s="178" t="s">
        <v>118</v>
      </c>
      <c r="B6" s="178"/>
      <c r="C6" s="178"/>
      <c r="D6" s="178"/>
      <c r="E6" s="178"/>
      <c r="F6" s="178"/>
      <c r="G6" s="178"/>
    </row>
    <row r="7" spans="1:7" ht="15" customHeight="1" x14ac:dyDescent="0.25">
      <c r="A7" s="182" t="s">
        <v>0</v>
      </c>
      <c r="B7" s="182" t="s">
        <v>279</v>
      </c>
      <c r="C7" s="182"/>
      <c r="D7" s="182"/>
      <c r="E7" s="182"/>
      <c r="F7" s="182"/>
      <c r="G7" s="183" t="s">
        <v>280</v>
      </c>
    </row>
    <row r="8" spans="1:7" ht="30" x14ac:dyDescent="0.25">
      <c r="A8" s="182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2"/>
    </row>
    <row r="9" spans="1:7" x14ac:dyDescent="0.25">
      <c r="A9" s="82" t="s">
        <v>285</v>
      </c>
      <c r="B9" s="79">
        <f>SUM(B10,B18,B28,B38,B48,B58,B62,B71,B75)</f>
        <v>166030953.16000003</v>
      </c>
      <c r="C9" s="79">
        <f t="shared" ref="C9:G9" si="0">SUM(C10,C18,C28,C38,C48,C58,C62,C71,C75)</f>
        <v>55949221.170000002</v>
      </c>
      <c r="D9" s="79">
        <f t="shared" si="0"/>
        <v>221980174.32999998</v>
      </c>
      <c r="E9" s="79">
        <f t="shared" si="0"/>
        <v>7213</v>
      </c>
      <c r="F9" s="79">
        <f t="shared" si="0"/>
        <v>117824903.38000001</v>
      </c>
      <c r="G9" s="79">
        <f t="shared" si="0"/>
        <v>221972961.32999998</v>
      </c>
    </row>
    <row r="10" spans="1:7" x14ac:dyDescent="0.25">
      <c r="A10" s="83" t="s">
        <v>286</v>
      </c>
      <c r="B10" s="80">
        <f>SUM(B11:B17)</f>
        <v>79696928.090000004</v>
      </c>
      <c r="C10" s="80">
        <f t="shared" ref="C10:G10" si="1">SUM(C11:C17)</f>
        <v>-30000</v>
      </c>
      <c r="D10" s="80">
        <f t="shared" si="1"/>
        <v>79666928.090000004</v>
      </c>
      <c r="E10" s="80">
        <f t="shared" si="1"/>
        <v>0</v>
      </c>
      <c r="F10" s="80">
        <f t="shared" si="1"/>
        <v>45751898.93</v>
      </c>
      <c r="G10" s="80">
        <f t="shared" si="1"/>
        <v>79666928.090000004</v>
      </c>
    </row>
    <row r="11" spans="1:7" x14ac:dyDescent="0.25">
      <c r="A11" s="84" t="s">
        <v>287</v>
      </c>
      <c r="B11" s="80">
        <v>44825061.350000001</v>
      </c>
      <c r="C11" s="80">
        <v>-72725.11</v>
      </c>
      <c r="D11" s="80">
        <v>44752336.240000002</v>
      </c>
      <c r="E11" s="80">
        <v>0</v>
      </c>
      <c r="F11" s="80">
        <v>31353731.129999999</v>
      </c>
      <c r="G11" s="80">
        <f t="shared" ref="G11:G17" si="2">D11-E11</f>
        <v>44752336.240000002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 t="shared" si="2"/>
        <v>0</v>
      </c>
    </row>
    <row r="13" spans="1:7" x14ac:dyDescent="0.25">
      <c r="A13" s="84" t="s">
        <v>289</v>
      </c>
      <c r="B13" s="151">
        <v>6379159.5</v>
      </c>
      <c r="C13" s="151">
        <v>72725.11</v>
      </c>
      <c r="D13" s="151">
        <v>6451884.6100000003</v>
      </c>
      <c r="E13" s="151">
        <v>0</v>
      </c>
      <c r="F13" s="151">
        <v>1107850.8400000001</v>
      </c>
      <c r="G13" s="80">
        <f t="shared" si="2"/>
        <v>6451884.6100000003</v>
      </c>
    </row>
    <row r="14" spans="1:7" x14ac:dyDescent="0.25">
      <c r="A14" s="84" t="s">
        <v>290</v>
      </c>
      <c r="B14" s="80">
        <v>13213915.99</v>
      </c>
      <c r="C14" s="80">
        <v>0</v>
      </c>
      <c r="D14" s="80">
        <v>13213915.99</v>
      </c>
      <c r="E14" s="80">
        <v>0</v>
      </c>
      <c r="F14" s="80">
        <v>6632320.5999999996</v>
      </c>
      <c r="G14" s="80">
        <f t="shared" si="2"/>
        <v>13213915.99</v>
      </c>
    </row>
    <row r="15" spans="1:7" x14ac:dyDescent="0.25">
      <c r="A15" s="84" t="s">
        <v>291</v>
      </c>
      <c r="B15" s="151">
        <v>15278791.25</v>
      </c>
      <c r="C15" s="151">
        <v>-30000</v>
      </c>
      <c r="D15" s="151">
        <v>15248791.25</v>
      </c>
      <c r="E15" s="151">
        <v>0</v>
      </c>
      <c r="F15" s="151">
        <v>6657996.3600000003</v>
      </c>
      <c r="G15" s="80">
        <f t="shared" si="2"/>
        <v>15248791.25</v>
      </c>
    </row>
    <row r="16" spans="1:7" x14ac:dyDescent="0.2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/>
      <c r="E17" s="80"/>
      <c r="F17" s="80"/>
      <c r="G17" s="80">
        <f t="shared" si="2"/>
        <v>0</v>
      </c>
    </row>
    <row r="18" spans="1:7" x14ac:dyDescent="0.25">
      <c r="A18" s="83" t="s">
        <v>294</v>
      </c>
      <c r="B18" s="80">
        <f t="shared" ref="B18:G18" si="3">SUM(B19:B27)</f>
        <v>13009055.240000002</v>
      </c>
      <c r="C18" s="80">
        <f t="shared" si="3"/>
        <v>2669399.56</v>
      </c>
      <c r="D18" s="80">
        <f t="shared" si="3"/>
        <v>15678454.800000001</v>
      </c>
      <c r="E18" s="80">
        <f t="shared" si="3"/>
        <v>0</v>
      </c>
      <c r="F18" s="80">
        <f t="shared" si="3"/>
        <v>8671631.8499999996</v>
      </c>
      <c r="G18" s="80">
        <f t="shared" si="3"/>
        <v>15678454.800000001</v>
      </c>
    </row>
    <row r="19" spans="1:7" x14ac:dyDescent="0.25">
      <c r="A19" s="84" t="s">
        <v>295</v>
      </c>
      <c r="B19" s="151">
        <v>1624698.67</v>
      </c>
      <c r="C19" s="151">
        <v>33234.959999999999</v>
      </c>
      <c r="D19" s="151">
        <v>1657933.63</v>
      </c>
      <c r="E19" s="151">
        <v>0</v>
      </c>
      <c r="F19" s="151">
        <v>1067869.04</v>
      </c>
      <c r="G19" s="80">
        <f>D19-E19</f>
        <v>1657933.63</v>
      </c>
    </row>
    <row r="20" spans="1:7" x14ac:dyDescent="0.25">
      <c r="A20" s="84" t="s">
        <v>296</v>
      </c>
      <c r="B20" s="151">
        <v>272938.68</v>
      </c>
      <c r="C20" s="151">
        <v>58500</v>
      </c>
      <c r="D20" s="151">
        <v>331438.68</v>
      </c>
      <c r="E20" s="151">
        <v>0</v>
      </c>
      <c r="F20" s="151">
        <v>201343.11</v>
      </c>
      <c r="G20" s="80">
        <f t="shared" ref="G20:G27" si="4">D20-E20</f>
        <v>331438.68</v>
      </c>
    </row>
    <row r="21" spans="1:7" x14ac:dyDescent="0.25">
      <c r="A21" s="84" t="s">
        <v>297</v>
      </c>
      <c r="B21" s="80">
        <v>0</v>
      </c>
      <c r="C21" s="80">
        <v>300</v>
      </c>
      <c r="D21" s="80">
        <v>300</v>
      </c>
      <c r="E21" s="80">
        <v>0</v>
      </c>
      <c r="F21" s="80">
        <v>0</v>
      </c>
      <c r="G21" s="80">
        <f t="shared" si="4"/>
        <v>300</v>
      </c>
    </row>
    <row r="22" spans="1:7" x14ac:dyDescent="0.25">
      <c r="A22" s="84" t="s">
        <v>298</v>
      </c>
      <c r="B22" s="151">
        <v>2012876.86</v>
      </c>
      <c r="C22" s="151">
        <v>112555.04000000001</v>
      </c>
      <c r="D22" s="151">
        <v>2125431.9</v>
      </c>
      <c r="E22" s="151">
        <v>0</v>
      </c>
      <c r="F22" s="151">
        <v>562011.18000000005</v>
      </c>
      <c r="G22" s="80">
        <f t="shared" si="4"/>
        <v>2125431.9</v>
      </c>
    </row>
    <row r="23" spans="1:7" x14ac:dyDescent="0.25">
      <c r="A23" s="84" t="s">
        <v>299</v>
      </c>
      <c r="B23" s="151">
        <v>37497.75</v>
      </c>
      <c r="C23" s="80">
        <v>-5000</v>
      </c>
      <c r="D23" s="151">
        <v>32497.75</v>
      </c>
      <c r="E23" s="80">
        <v>0</v>
      </c>
      <c r="F23" s="80">
        <v>671</v>
      </c>
      <c r="G23" s="80">
        <f t="shared" si="4"/>
        <v>32497.75</v>
      </c>
    </row>
    <row r="24" spans="1:7" x14ac:dyDescent="0.25">
      <c r="A24" s="84" t="s">
        <v>300</v>
      </c>
      <c r="B24" s="151">
        <v>6444357.4400000004</v>
      </c>
      <c r="C24" s="151">
        <v>153122.02000000002</v>
      </c>
      <c r="D24" s="151">
        <v>6597479.46</v>
      </c>
      <c r="E24" s="151">
        <v>0</v>
      </c>
      <c r="F24" s="151">
        <v>4962595.68</v>
      </c>
      <c r="G24" s="80">
        <f t="shared" si="4"/>
        <v>6597479.46</v>
      </c>
    </row>
    <row r="25" spans="1:7" x14ac:dyDescent="0.25">
      <c r="A25" s="84" t="s">
        <v>301</v>
      </c>
      <c r="B25" s="151">
        <v>203746.63</v>
      </c>
      <c r="C25" s="80">
        <v>-12546.629999999997</v>
      </c>
      <c r="D25" s="151">
        <v>191200</v>
      </c>
      <c r="E25" s="151">
        <v>0</v>
      </c>
      <c r="F25" s="151">
        <v>51932.34</v>
      </c>
      <c r="G25" s="80">
        <f t="shared" si="4"/>
        <v>191200</v>
      </c>
    </row>
    <row r="26" spans="1:7" x14ac:dyDescent="0.25">
      <c r="A26" s="84" t="s">
        <v>302</v>
      </c>
      <c r="B26" s="80">
        <v>0</v>
      </c>
      <c r="C26" s="151">
        <v>1947738.75</v>
      </c>
      <c r="D26" s="151">
        <v>1947738.75</v>
      </c>
      <c r="E26" s="151">
        <v>0</v>
      </c>
      <c r="F26" s="151">
        <v>23500.45</v>
      </c>
      <c r="G26" s="80">
        <f t="shared" si="4"/>
        <v>1947738.75</v>
      </c>
    </row>
    <row r="27" spans="1:7" x14ac:dyDescent="0.25">
      <c r="A27" s="84" t="s">
        <v>303</v>
      </c>
      <c r="B27" s="151">
        <v>2412939.21</v>
      </c>
      <c r="C27" s="151">
        <v>381495.42</v>
      </c>
      <c r="D27" s="151">
        <v>2794434.63</v>
      </c>
      <c r="E27" s="151">
        <v>0</v>
      </c>
      <c r="F27" s="151">
        <v>1801709.05</v>
      </c>
      <c r="G27" s="80">
        <f t="shared" si="4"/>
        <v>2794434.63</v>
      </c>
    </row>
    <row r="28" spans="1:7" x14ac:dyDescent="0.25">
      <c r="A28" s="83" t="s">
        <v>304</v>
      </c>
      <c r="B28" s="80">
        <f t="shared" ref="B28:G28" si="5">SUM(B29:B37)</f>
        <v>17481137.469999999</v>
      </c>
      <c r="C28" s="80">
        <f t="shared" si="5"/>
        <v>10259866.050000001</v>
      </c>
      <c r="D28" s="80">
        <f t="shared" si="5"/>
        <v>27741003.52</v>
      </c>
      <c r="E28" s="80">
        <f t="shared" si="5"/>
        <v>7213</v>
      </c>
      <c r="F28" s="80">
        <f t="shared" si="5"/>
        <v>14459459.460000001</v>
      </c>
      <c r="G28" s="80">
        <f t="shared" si="5"/>
        <v>27733790.52</v>
      </c>
    </row>
    <row r="29" spans="1:7" x14ac:dyDescent="0.25">
      <c r="A29" s="84" t="s">
        <v>305</v>
      </c>
      <c r="B29" s="151">
        <v>1952570.88</v>
      </c>
      <c r="C29" s="151">
        <v>2944898</v>
      </c>
      <c r="D29" s="151">
        <v>4897468.88</v>
      </c>
      <c r="E29" s="151">
        <v>0</v>
      </c>
      <c r="F29" s="151">
        <v>1023739.65</v>
      </c>
      <c r="G29" s="80">
        <f>D29-E29</f>
        <v>4897468.88</v>
      </c>
    </row>
    <row r="30" spans="1:7" x14ac:dyDescent="0.25">
      <c r="A30" s="84" t="s">
        <v>306</v>
      </c>
      <c r="B30" s="151">
        <v>1541649.27</v>
      </c>
      <c r="C30" s="151">
        <v>306709.19</v>
      </c>
      <c r="D30" s="151">
        <v>1848358.46</v>
      </c>
      <c r="E30" s="151">
        <v>0</v>
      </c>
      <c r="F30" s="151">
        <v>943099.64</v>
      </c>
      <c r="G30" s="80">
        <f t="shared" ref="G30:G37" si="6">D30-E30</f>
        <v>1848358.46</v>
      </c>
    </row>
    <row r="31" spans="1:7" x14ac:dyDescent="0.25">
      <c r="A31" s="84" t="s">
        <v>307</v>
      </c>
      <c r="B31" s="151">
        <v>2424541.39</v>
      </c>
      <c r="C31" s="151">
        <v>444302.43</v>
      </c>
      <c r="D31" s="151">
        <v>2868843.82</v>
      </c>
      <c r="E31" s="151">
        <v>0</v>
      </c>
      <c r="F31" s="151">
        <v>1429781.61</v>
      </c>
      <c r="G31" s="80">
        <f t="shared" si="6"/>
        <v>2868843.82</v>
      </c>
    </row>
    <row r="32" spans="1:7" x14ac:dyDescent="0.25">
      <c r="A32" s="84" t="s">
        <v>308</v>
      </c>
      <c r="B32" s="151">
        <v>1258225.23</v>
      </c>
      <c r="C32" s="151">
        <v>723170.21</v>
      </c>
      <c r="D32" s="151">
        <v>1981395.44</v>
      </c>
      <c r="E32" s="151">
        <v>0</v>
      </c>
      <c r="F32" s="151">
        <v>1148003.8400000001</v>
      </c>
      <c r="G32" s="80">
        <f t="shared" si="6"/>
        <v>1981395.44</v>
      </c>
    </row>
    <row r="33" spans="1:7" x14ac:dyDescent="0.25">
      <c r="A33" s="84" t="s">
        <v>309</v>
      </c>
      <c r="B33" s="151">
        <v>2084688.65</v>
      </c>
      <c r="C33" s="151">
        <v>304788</v>
      </c>
      <c r="D33" s="151">
        <v>2389476.65</v>
      </c>
      <c r="E33" s="151">
        <v>0</v>
      </c>
      <c r="F33" s="151">
        <v>1035096.31</v>
      </c>
      <c r="G33" s="80">
        <f t="shared" si="6"/>
        <v>2389476.65</v>
      </c>
    </row>
    <row r="34" spans="1:7" x14ac:dyDescent="0.25">
      <c r="A34" s="84" t="s">
        <v>310</v>
      </c>
      <c r="B34" s="151">
        <v>588100.04</v>
      </c>
      <c r="C34" s="151">
        <v>154062.50000000003</v>
      </c>
      <c r="D34" s="151">
        <v>742162.54</v>
      </c>
      <c r="E34" s="151">
        <v>0</v>
      </c>
      <c r="F34" s="151">
        <v>485237.65</v>
      </c>
      <c r="G34" s="80">
        <f t="shared" si="6"/>
        <v>742162.54</v>
      </c>
    </row>
    <row r="35" spans="1:7" x14ac:dyDescent="0.25">
      <c r="A35" s="84" t="s">
        <v>311</v>
      </c>
      <c r="B35" s="151">
        <v>187332.42</v>
      </c>
      <c r="C35" s="151">
        <v>-8000</v>
      </c>
      <c r="D35" s="151">
        <v>179332.42</v>
      </c>
      <c r="E35" s="151">
        <v>0</v>
      </c>
      <c r="F35" s="151">
        <v>68746.63</v>
      </c>
      <c r="G35" s="80">
        <f t="shared" si="6"/>
        <v>179332.42</v>
      </c>
    </row>
    <row r="36" spans="1:7" x14ac:dyDescent="0.25">
      <c r="A36" s="84" t="s">
        <v>312</v>
      </c>
      <c r="B36" s="151">
        <v>3236346.1</v>
      </c>
      <c r="C36" s="151">
        <v>2362108.69</v>
      </c>
      <c r="D36" s="151">
        <v>5598454.79</v>
      </c>
      <c r="E36" s="151">
        <v>7213</v>
      </c>
      <c r="F36" s="151">
        <v>3864428.31</v>
      </c>
      <c r="G36" s="80">
        <f t="shared" si="6"/>
        <v>5591241.79</v>
      </c>
    </row>
    <row r="37" spans="1:7" x14ac:dyDescent="0.25">
      <c r="A37" s="84" t="s">
        <v>313</v>
      </c>
      <c r="B37" s="151">
        <v>4207683.49</v>
      </c>
      <c r="C37" s="151">
        <v>3027827.0300000003</v>
      </c>
      <c r="D37" s="151">
        <v>7235510.5199999996</v>
      </c>
      <c r="E37" s="151">
        <v>0</v>
      </c>
      <c r="F37" s="151">
        <v>4461325.82</v>
      </c>
      <c r="G37" s="80">
        <f t="shared" si="6"/>
        <v>7235510.5199999996</v>
      </c>
    </row>
    <row r="38" spans="1:7" x14ac:dyDescent="0.25">
      <c r="A38" s="83" t="s">
        <v>314</v>
      </c>
      <c r="B38" s="80">
        <f t="shared" ref="B38:G38" si="7">SUM(B39:B47)</f>
        <v>29654782.210000001</v>
      </c>
      <c r="C38" s="80">
        <f t="shared" si="7"/>
        <v>11600726.049999999</v>
      </c>
      <c r="D38" s="80">
        <f t="shared" si="7"/>
        <v>41255508.259999998</v>
      </c>
      <c r="E38" s="80">
        <f t="shared" si="7"/>
        <v>0</v>
      </c>
      <c r="F38" s="80">
        <f t="shared" si="7"/>
        <v>29160219.050000001</v>
      </c>
      <c r="G38" s="80">
        <f t="shared" si="7"/>
        <v>41255508.259999998</v>
      </c>
    </row>
    <row r="39" spans="1:7" x14ac:dyDescent="0.25">
      <c r="A39" s="84" t="s">
        <v>315</v>
      </c>
      <c r="B39" s="151">
        <v>10806000</v>
      </c>
      <c r="C39" s="151">
        <v>400000</v>
      </c>
      <c r="D39" s="151">
        <v>11206000</v>
      </c>
      <c r="E39" s="151">
        <v>0</v>
      </c>
      <c r="F39" s="151">
        <v>8504500</v>
      </c>
      <c r="G39" s="80">
        <f>D39-E39</f>
        <v>11206000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8369130.4100000001</v>
      </c>
      <c r="C41" s="80">
        <v>9505249.4299999997</v>
      </c>
      <c r="D41" s="80">
        <v>17874379.84</v>
      </c>
      <c r="E41" s="80">
        <v>0</v>
      </c>
      <c r="F41" s="80">
        <v>13331434.83</v>
      </c>
      <c r="G41" s="80">
        <f t="shared" si="8"/>
        <v>17874379.84</v>
      </c>
    </row>
    <row r="42" spans="1:7" x14ac:dyDescent="0.25">
      <c r="A42" s="84" t="s">
        <v>318</v>
      </c>
      <c r="B42" s="80">
        <v>3233970.21</v>
      </c>
      <c r="C42" s="80">
        <v>1681737.5</v>
      </c>
      <c r="D42" s="80">
        <v>4915707.71</v>
      </c>
      <c r="E42" s="80">
        <v>0</v>
      </c>
      <c r="F42" s="80">
        <v>2669636.92</v>
      </c>
      <c r="G42" s="80">
        <f t="shared" si="8"/>
        <v>4915707.71</v>
      </c>
    </row>
    <row r="43" spans="1:7" x14ac:dyDescent="0.25">
      <c r="A43" s="84" t="s">
        <v>319</v>
      </c>
      <c r="B43" s="80">
        <v>6688338.75</v>
      </c>
      <c r="C43" s="80">
        <v>359789.12</v>
      </c>
      <c r="D43" s="80">
        <v>7048127.8700000001</v>
      </c>
      <c r="E43" s="80">
        <v>0</v>
      </c>
      <c r="F43" s="80">
        <v>4475697.3</v>
      </c>
      <c r="G43" s="80">
        <f t="shared" si="8"/>
        <v>7048127.8700000001</v>
      </c>
    </row>
    <row r="44" spans="1:7" x14ac:dyDescent="0.25">
      <c r="A44" s="84" t="s">
        <v>320</v>
      </c>
      <c r="B44" s="151"/>
      <c r="C44" s="151"/>
      <c r="D44" s="151"/>
      <c r="E44" s="151"/>
      <c r="F44" s="151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151">
        <v>557342.84</v>
      </c>
      <c r="C46" s="151">
        <v>-346050</v>
      </c>
      <c r="D46" s="151">
        <v>211292.84</v>
      </c>
      <c r="E46" s="151">
        <v>0</v>
      </c>
      <c r="F46" s="151">
        <v>178950</v>
      </c>
      <c r="G46" s="80">
        <f t="shared" si="8"/>
        <v>211292.84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 t="shared" ref="B48:G48" si="9">SUM(B49:B57)</f>
        <v>1738389</v>
      </c>
      <c r="C48" s="151">
        <f>SUM(C49:C57)</f>
        <v>3459880.91</v>
      </c>
      <c r="D48" s="80">
        <f t="shared" si="9"/>
        <v>5198269.91</v>
      </c>
      <c r="E48" s="80">
        <f t="shared" si="9"/>
        <v>0</v>
      </c>
      <c r="F48" s="80">
        <f t="shared" si="9"/>
        <v>1557841.5</v>
      </c>
      <c r="G48" s="80">
        <f t="shared" si="9"/>
        <v>5198269.91</v>
      </c>
    </row>
    <row r="49" spans="1:7" x14ac:dyDescent="0.25">
      <c r="A49" s="84" t="s">
        <v>325</v>
      </c>
      <c r="B49" s="151">
        <v>98790</v>
      </c>
      <c r="C49" s="151">
        <v>703925.87</v>
      </c>
      <c r="D49" s="151">
        <v>802715.87</v>
      </c>
      <c r="E49" s="151">
        <v>0</v>
      </c>
      <c r="F49" s="151">
        <v>300362.61</v>
      </c>
      <c r="G49" s="80">
        <f>D49-E49</f>
        <v>802715.87</v>
      </c>
    </row>
    <row r="50" spans="1:7" x14ac:dyDescent="0.25">
      <c r="A50" s="84" t="s">
        <v>326</v>
      </c>
      <c r="B50" s="151">
        <v>221600</v>
      </c>
      <c r="C50" s="151">
        <v>135300</v>
      </c>
      <c r="D50" s="151">
        <v>356900</v>
      </c>
      <c r="E50" s="151">
        <v>0</v>
      </c>
      <c r="F50" s="151">
        <v>90200.89</v>
      </c>
      <c r="G50" s="80">
        <f t="shared" ref="G50:G57" si="10">D50-E50</f>
        <v>356900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0</v>
      </c>
      <c r="C52" s="80">
        <v>45000</v>
      </c>
      <c r="D52" s="80">
        <v>45000</v>
      </c>
      <c r="E52" s="80">
        <v>0</v>
      </c>
      <c r="F52" s="80">
        <v>0</v>
      </c>
      <c r="G52" s="80">
        <f t="shared" si="10"/>
        <v>45000</v>
      </c>
    </row>
    <row r="53" spans="1:7" x14ac:dyDescent="0.25">
      <c r="A53" s="84" t="s">
        <v>329</v>
      </c>
      <c r="B53" s="80">
        <v>0</v>
      </c>
      <c r="C53" s="80">
        <v>1299994.5</v>
      </c>
      <c r="D53" s="80">
        <v>1299994.5</v>
      </c>
      <c r="E53" s="80">
        <v>0</v>
      </c>
      <c r="F53" s="80">
        <v>0</v>
      </c>
      <c r="G53" s="80">
        <f t="shared" si="10"/>
        <v>1299994.5</v>
      </c>
    </row>
    <row r="54" spans="1:7" x14ac:dyDescent="0.25">
      <c r="A54" s="84" t="s">
        <v>330</v>
      </c>
      <c r="B54" s="80">
        <v>8000</v>
      </c>
      <c r="C54" s="151">
        <v>146320.13</v>
      </c>
      <c r="D54" s="151">
        <v>154320.13</v>
      </c>
      <c r="E54" s="80">
        <v>0</v>
      </c>
      <c r="F54" s="80">
        <v>29510.400000000001</v>
      </c>
      <c r="G54" s="80">
        <f t="shared" si="10"/>
        <v>154320.13</v>
      </c>
    </row>
    <row r="55" spans="1:7" x14ac:dyDescent="0.25">
      <c r="A55" s="84" t="s">
        <v>331</v>
      </c>
      <c r="B55" s="80"/>
      <c r="C55" s="151"/>
      <c r="D55" s="151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>
        <v>1200000</v>
      </c>
      <c r="C56" s="151">
        <v>1129340.4100000001</v>
      </c>
      <c r="D56" s="151">
        <v>2329340.41</v>
      </c>
      <c r="E56" s="80">
        <v>0</v>
      </c>
      <c r="F56" s="80">
        <v>930000</v>
      </c>
      <c r="G56" s="80">
        <f t="shared" si="10"/>
        <v>2329340.41</v>
      </c>
    </row>
    <row r="57" spans="1:7" x14ac:dyDescent="0.25">
      <c r="A57" s="84" t="s">
        <v>333</v>
      </c>
      <c r="B57" s="151">
        <v>209999</v>
      </c>
      <c r="C57" s="151">
        <v>0</v>
      </c>
      <c r="D57" s="151">
        <v>209999</v>
      </c>
      <c r="E57" s="80">
        <v>0</v>
      </c>
      <c r="F57" s="80">
        <v>207767.6</v>
      </c>
      <c r="G57" s="80">
        <f t="shared" si="10"/>
        <v>209999</v>
      </c>
    </row>
    <row r="58" spans="1:7" x14ac:dyDescent="0.25">
      <c r="A58" s="83" t="s">
        <v>334</v>
      </c>
      <c r="B58" s="80">
        <f t="shared" ref="B58:G58" si="11">SUM(B59:B61)</f>
        <v>24450661.149999999</v>
      </c>
      <c r="C58" s="80">
        <f t="shared" si="11"/>
        <v>25760705.82</v>
      </c>
      <c r="D58" s="80">
        <f t="shared" si="11"/>
        <v>50211366.969999999</v>
      </c>
      <c r="E58" s="80">
        <f t="shared" si="11"/>
        <v>0</v>
      </c>
      <c r="F58" s="80">
        <f t="shared" si="11"/>
        <v>17307352.59</v>
      </c>
      <c r="G58" s="80">
        <f t="shared" si="11"/>
        <v>50211366.969999999</v>
      </c>
    </row>
    <row r="59" spans="1:7" x14ac:dyDescent="0.25">
      <c r="A59" s="84" t="s">
        <v>335</v>
      </c>
      <c r="B59" s="151">
        <v>23450661.149999999</v>
      </c>
      <c r="C59" s="151">
        <v>24718934.09</v>
      </c>
      <c r="D59" s="151">
        <v>48169595.240000002</v>
      </c>
      <c r="E59" s="151">
        <v>0</v>
      </c>
      <c r="F59" s="151">
        <v>15639968.609999999</v>
      </c>
      <c r="G59" s="80">
        <f>D59-E59</f>
        <v>48169595.240000002</v>
      </c>
    </row>
    <row r="60" spans="1:7" x14ac:dyDescent="0.25">
      <c r="A60" s="84" t="s">
        <v>336</v>
      </c>
      <c r="B60" s="151">
        <v>1000000</v>
      </c>
      <c r="C60" s="151">
        <v>1041771.73</v>
      </c>
      <c r="D60" s="151">
        <v>2041771.73</v>
      </c>
      <c r="E60" s="151">
        <v>0</v>
      </c>
      <c r="F60" s="151">
        <v>1667383.98</v>
      </c>
      <c r="G60" s="80">
        <f>D60-E60</f>
        <v>2041771.73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>D61-E61</f>
        <v>0</v>
      </c>
    </row>
    <row r="62" spans="1:7" x14ac:dyDescent="0.25">
      <c r="A62" s="83" t="s">
        <v>338</v>
      </c>
      <c r="B62" s="80">
        <f t="shared" ref="B62:G62" si="12">SUM(B63:B67,B69:B70)</f>
        <v>0</v>
      </c>
      <c r="C62" s="80">
        <f t="shared" si="12"/>
        <v>0</v>
      </c>
      <c r="D62" s="80">
        <f t="shared" si="12"/>
        <v>0</v>
      </c>
      <c r="E62" s="80">
        <f t="shared" si="12"/>
        <v>0</v>
      </c>
      <c r="F62" s="80">
        <f t="shared" si="12"/>
        <v>0</v>
      </c>
      <c r="G62" s="80">
        <f t="shared" si="12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3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3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3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3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3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3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3"/>
        <v>0</v>
      </c>
    </row>
    <row r="71" spans="1:7" x14ac:dyDescent="0.25">
      <c r="A71" s="83" t="s">
        <v>347</v>
      </c>
      <c r="B71" s="80">
        <f t="shared" ref="B71:G71" si="14">SUM(B72:B74)</f>
        <v>0</v>
      </c>
      <c r="C71" s="80">
        <f t="shared" si="14"/>
        <v>1799932.88</v>
      </c>
      <c r="D71" s="80">
        <f t="shared" si="14"/>
        <v>1799932.88</v>
      </c>
      <c r="E71" s="80">
        <f t="shared" si="14"/>
        <v>0</v>
      </c>
      <c r="F71" s="80">
        <f t="shared" si="14"/>
        <v>916500</v>
      </c>
      <c r="G71" s="80">
        <f t="shared" si="14"/>
        <v>1799932.88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>D73-E73</f>
        <v>0</v>
      </c>
    </row>
    <row r="74" spans="1:7" x14ac:dyDescent="0.25">
      <c r="A74" s="84" t="s">
        <v>350</v>
      </c>
      <c r="B74" s="80">
        <v>0</v>
      </c>
      <c r="C74" s="151">
        <v>1799932.88</v>
      </c>
      <c r="D74" s="151">
        <v>1799932.88</v>
      </c>
      <c r="E74" s="80">
        <v>0</v>
      </c>
      <c r="F74" s="80">
        <v>916500</v>
      </c>
      <c r="G74" s="80">
        <f>D74-E74</f>
        <v>1799932.88</v>
      </c>
    </row>
    <row r="75" spans="1:7" x14ac:dyDescent="0.25">
      <c r="A75" s="83" t="s">
        <v>351</v>
      </c>
      <c r="B75" s="80">
        <f t="shared" ref="B75:G75" si="15">SUM(B76:B82)</f>
        <v>0</v>
      </c>
      <c r="C75" s="80">
        <f t="shared" si="15"/>
        <v>428709.9</v>
      </c>
      <c r="D75" s="80">
        <f t="shared" si="15"/>
        <v>428709.9</v>
      </c>
      <c r="E75" s="80">
        <f t="shared" si="15"/>
        <v>0</v>
      </c>
      <c r="F75" s="80">
        <f t="shared" si="15"/>
        <v>0</v>
      </c>
      <c r="G75" s="80">
        <f t="shared" si="15"/>
        <v>428709.9</v>
      </c>
    </row>
    <row r="76" spans="1:7" x14ac:dyDescent="0.25">
      <c r="A76" s="84" t="s">
        <v>352</v>
      </c>
      <c r="B76" s="80"/>
      <c r="C76" s="80"/>
      <c r="D76" s="80">
        <v>0</v>
      </c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1" si="16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6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6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6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6"/>
        <v>0</v>
      </c>
    </row>
    <row r="82" spans="1:7" x14ac:dyDescent="0.25">
      <c r="A82" s="84" t="s">
        <v>358</v>
      </c>
      <c r="B82" s="80">
        <v>0</v>
      </c>
      <c r="C82" s="151">
        <v>428709.9</v>
      </c>
      <c r="D82" s="151">
        <v>428709.9</v>
      </c>
      <c r="E82" s="80">
        <v>0</v>
      </c>
      <c r="F82" s="80">
        <v>0</v>
      </c>
      <c r="G82" s="151">
        <f>D82-E82</f>
        <v>428709.9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7">SUM(B85,B93,B103,B113,B123,B133,B137,B146,B150)</f>
        <v>202817446.07999998</v>
      </c>
      <c r="C84" s="79">
        <f>SUM(C85,C93,C103,C113,C123,C133,C137,C146,C150)</f>
        <v>162799193.04999998</v>
      </c>
      <c r="D84" s="79">
        <f t="shared" si="17"/>
        <v>302033700.01000005</v>
      </c>
      <c r="E84" s="79">
        <f t="shared" si="17"/>
        <v>0</v>
      </c>
      <c r="F84" s="79">
        <f t="shared" si="17"/>
        <v>179321233.94</v>
      </c>
      <c r="G84" s="79">
        <f t="shared" si="17"/>
        <v>302033700.01000005</v>
      </c>
    </row>
    <row r="85" spans="1:7" x14ac:dyDescent="0.25">
      <c r="A85" s="83" t="s">
        <v>286</v>
      </c>
      <c r="B85" s="80">
        <f t="shared" ref="B85:G85" si="18">SUM(B86:B92)</f>
        <v>35758326.949999996</v>
      </c>
      <c r="C85" s="80">
        <f t="shared" si="18"/>
        <v>2141708.4300000002</v>
      </c>
      <c r="D85" s="80">
        <f t="shared" si="18"/>
        <v>35740035.380000003</v>
      </c>
      <c r="E85" s="80">
        <f t="shared" si="18"/>
        <v>0</v>
      </c>
      <c r="F85" s="80">
        <f t="shared" si="18"/>
        <v>22517683.52</v>
      </c>
      <c r="G85" s="80">
        <f t="shared" si="18"/>
        <v>35740035.380000003</v>
      </c>
    </row>
    <row r="86" spans="1:7" x14ac:dyDescent="0.25">
      <c r="A86" s="84" t="s">
        <v>287</v>
      </c>
      <c r="B86" s="151">
        <v>19412802.609999999</v>
      </c>
      <c r="C86" s="151">
        <v>2049361.13</v>
      </c>
      <c r="D86" s="151">
        <v>19326858.34</v>
      </c>
      <c r="E86" s="80">
        <v>0</v>
      </c>
      <c r="F86" s="151">
        <v>13393612.6</v>
      </c>
      <c r="G86" s="80">
        <f>D86-E86</f>
        <v>19326858.34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19">D87-E87</f>
        <v>0</v>
      </c>
    </row>
    <row r="88" spans="1:7" x14ac:dyDescent="0.25">
      <c r="A88" s="84" t="s">
        <v>289</v>
      </c>
      <c r="B88" s="151">
        <v>2743147.76</v>
      </c>
      <c r="C88" s="151">
        <v>80000</v>
      </c>
      <c r="D88" s="151">
        <v>2823147.76</v>
      </c>
      <c r="E88" s="151">
        <v>0</v>
      </c>
      <c r="F88" s="151">
        <v>659590.18999999994</v>
      </c>
      <c r="G88" s="80">
        <f t="shared" si="19"/>
        <v>2823147.76</v>
      </c>
    </row>
    <row r="89" spans="1:7" x14ac:dyDescent="0.25">
      <c r="A89" s="84" t="s">
        <v>290</v>
      </c>
      <c r="B89" s="151">
        <v>6829208.2300000004</v>
      </c>
      <c r="C89" s="80">
        <v>0</v>
      </c>
      <c r="D89" s="151">
        <v>6829208.2300000004</v>
      </c>
      <c r="E89" s="80">
        <v>0</v>
      </c>
      <c r="F89" s="151">
        <v>3745115.75</v>
      </c>
      <c r="G89" s="80">
        <f t="shared" si="19"/>
        <v>6829208.2300000004</v>
      </c>
    </row>
    <row r="90" spans="1:7" x14ac:dyDescent="0.25">
      <c r="A90" s="84" t="s">
        <v>291</v>
      </c>
      <c r="B90" s="151">
        <v>4437172.53</v>
      </c>
      <c r="C90" s="151">
        <v>9059.6200000000008</v>
      </c>
      <c r="D90" s="151">
        <v>4428112.91</v>
      </c>
      <c r="E90" s="151">
        <v>0</v>
      </c>
      <c r="F90" s="151">
        <v>3120439.27</v>
      </c>
      <c r="G90" s="80">
        <f t="shared" si="19"/>
        <v>4428112.91</v>
      </c>
    </row>
    <row r="91" spans="1:7" x14ac:dyDescent="0.25">
      <c r="A91" s="84" t="s">
        <v>292</v>
      </c>
      <c r="B91" s="80"/>
      <c r="C91" s="80"/>
      <c r="D91" s="80">
        <v>0</v>
      </c>
      <c r="E91" s="80"/>
      <c r="F91" s="80"/>
      <c r="G91" s="80">
        <f t="shared" si="19"/>
        <v>0</v>
      </c>
    </row>
    <row r="92" spans="1:7" x14ac:dyDescent="0.25">
      <c r="A92" s="84" t="s">
        <v>293</v>
      </c>
      <c r="B92" s="151">
        <v>2335995.8199999998</v>
      </c>
      <c r="C92" s="151">
        <v>3287.68</v>
      </c>
      <c r="D92" s="151">
        <v>2332708.14</v>
      </c>
      <c r="E92" s="80">
        <v>0</v>
      </c>
      <c r="F92" s="151">
        <v>1598925.71</v>
      </c>
      <c r="G92" s="80">
        <f t="shared" si="19"/>
        <v>2332708.14</v>
      </c>
    </row>
    <row r="93" spans="1:7" x14ac:dyDescent="0.25">
      <c r="A93" s="83" t="s">
        <v>294</v>
      </c>
      <c r="B93" s="80">
        <f t="shared" ref="B93:G93" si="20">SUM(B94:B102)</f>
        <v>7228830.9199999999</v>
      </c>
      <c r="C93" s="80">
        <f t="shared" si="20"/>
        <v>4109152</v>
      </c>
      <c r="D93" s="80">
        <f t="shared" si="20"/>
        <v>8834925.4399999995</v>
      </c>
      <c r="E93" s="80">
        <f t="shared" si="20"/>
        <v>0</v>
      </c>
      <c r="F93" s="80">
        <f t="shared" si="20"/>
        <v>6098965.1899999995</v>
      </c>
      <c r="G93" s="80">
        <f t="shared" si="20"/>
        <v>8834925.4399999995</v>
      </c>
    </row>
    <row r="94" spans="1:7" x14ac:dyDescent="0.25">
      <c r="A94" s="84" t="s">
        <v>295</v>
      </c>
      <c r="B94" s="151">
        <v>235400</v>
      </c>
      <c r="C94" s="80">
        <v>5900</v>
      </c>
      <c r="D94" s="151">
        <v>235500</v>
      </c>
      <c r="E94" s="151">
        <v>0</v>
      </c>
      <c r="F94" s="151">
        <v>177956.46</v>
      </c>
      <c r="G94" s="80">
        <f>D94-E94</f>
        <v>235500</v>
      </c>
    </row>
    <row r="95" spans="1:7" x14ac:dyDescent="0.25">
      <c r="A95" s="84" t="s">
        <v>296</v>
      </c>
      <c r="B95" s="151">
        <v>246999.92</v>
      </c>
      <c r="C95" s="80">
        <v>55000</v>
      </c>
      <c r="D95" s="151">
        <v>301999.92</v>
      </c>
      <c r="E95" s="151">
        <v>0</v>
      </c>
      <c r="F95" s="151">
        <v>226258.48</v>
      </c>
      <c r="G95" s="80">
        <f t="shared" ref="G95:G102" si="21">D95-E95</f>
        <v>301999.92</v>
      </c>
    </row>
    <row r="96" spans="1:7" x14ac:dyDescent="0.25">
      <c r="A96" s="84" t="s">
        <v>297</v>
      </c>
      <c r="B96" s="151">
        <v>120000</v>
      </c>
      <c r="C96" s="151">
        <v>120000</v>
      </c>
      <c r="D96" s="80">
        <v>0</v>
      </c>
      <c r="E96" s="80">
        <v>0</v>
      </c>
      <c r="F96" s="80">
        <v>0</v>
      </c>
      <c r="G96" s="80">
        <f t="shared" si="21"/>
        <v>0</v>
      </c>
    </row>
    <row r="97" spans="1:7" x14ac:dyDescent="0.25">
      <c r="A97" s="84" t="s">
        <v>298</v>
      </c>
      <c r="B97" s="151">
        <v>71400</v>
      </c>
      <c r="C97" s="151">
        <v>24464</v>
      </c>
      <c r="D97" s="151">
        <v>46936</v>
      </c>
      <c r="E97" s="151">
        <v>0</v>
      </c>
      <c r="F97" s="151">
        <v>21965.48</v>
      </c>
      <c r="G97" s="80">
        <f t="shared" si="21"/>
        <v>46936</v>
      </c>
    </row>
    <row r="98" spans="1:7" x14ac:dyDescent="0.25">
      <c r="A98" s="42" t="s">
        <v>299</v>
      </c>
      <c r="B98" s="151">
        <v>105000</v>
      </c>
      <c r="C98" s="80">
        <v>20400</v>
      </c>
      <c r="D98" s="151">
        <v>101400</v>
      </c>
      <c r="E98" s="80">
        <v>0</v>
      </c>
      <c r="F98" s="151">
        <v>78024.61</v>
      </c>
      <c r="G98" s="80">
        <f t="shared" si="21"/>
        <v>101400</v>
      </c>
    </row>
    <row r="99" spans="1:7" x14ac:dyDescent="0.25">
      <c r="A99" s="84" t="s">
        <v>300</v>
      </c>
      <c r="B99" s="151">
        <v>3934000</v>
      </c>
      <c r="C99" s="151">
        <v>1232889.52</v>
      </c>
      <c r="D99" s="151">
        <v>5166889.5199999996</v>
      </c>
      <c r="E99" s="151">
        <v>0</v>
      </c>
      <c r="F99" s="151">
        <v>2876055.3</v>
      </c>
      <c r="G99" s="80">
        <f t="shared" si="21"/>
        <v>5166889.5199999996</v>
      </c>
    </row>
    <row r="100" spans="1:7" x14ac:dyDescent="0.25">
      <c r="A100" s="84" t="s">
        <v>301</v>
      </c>
      <c r="B100" s="151">
        <v>1023404.72</v>
      </c>
      <c r="C100" s="151">
        <v>766695.28</v>
      </c>
      <c r="D100" s="151">
        <v>1772700</v>
      </c>
      <c r="E100" s="151">
        <v>0</v>
      </c>
      <c r="F100" s="151">
        <v>1668535.39</v>
      </c>
      <c r="G100" s="80">
        <f t="shared" si="21"/>
        <v>1772700</v>
      </c>
    </row>
    <row r="101" spans="1:7" x14ac:dyDescent="0.25">
      <c r="A101" s="84" t="s">
        <v>302</v>
      </c>
      <c r="B101" s="151">
        <v>804126.28</v>
      </c>
      <c r="C101" s="151">
        <v>1759803.2</v>
      </c>
      <c r="D101" s="151">
        <v>600000</v>
      </c>
      <c r="E101" s="151">
        <v>0</v>
      </c>
      <c r="F101" s="80">
        <v>598792</v>
      </c>
      <c r="G101" s="80">
        <f t="shared" si="21"/>
        <v>600000</v>
      </c>
    </row>
    <row r="102" spans="1:7" x14ac:dyDescent="0.25">
      <c r="A102" s="84" t="s">
        <v>303</v>
      </c>
      <c r="B102" s="151">
        <v>688500</v>
      </c>
      <c r="C102" s="151">
        <v>124000</v>
      </c>
      <c r="D102" s="151">
        <v>609500</v>
      </c>
      <c r="E102" s="151">
        <v>0</v>
      </c>
      <c r="F102" s="151">
        <v>451377.47</v>
      </c>
      <c r="G102" s="80">
        <f t="shared" si="21"/>
        <v>609500</v>
      </c>
    </row>
    <row r="103" spans="1:7" x14ac:dyDescent="0.25">
      <c r="A103" s="83" t="s">
        <v>304</v>
      </c>
      <c r="B103" s="151">
        <f>SUM(B104:B112)</f>
        <v>18260924.119999997</v>
      </c>
      <c r="C103" s="80">
        <f t="shared" ref="C103:G103" si="22">SUM(C104:C112)</f>
        <v>4214209.3</v>
      </c>
      <c r="D103" s="80">
        <f t="shared" si="22"/>
        <v>18823659.379999999</v>
      </c>
      <c r="E103" s="80">
        <f t="shared" si="22"/>
        <v>0</v>
      </c>
      <c r="F103" s="80">
        <f t="shared" si="22"/>
        <v>9994456.6799999997</v>
      </c>
      <c r="G103" s="80">
        <f t="shared" si="22"/>
        <v>18823659.379999999</v>
      </c>
    </row>
    <row r="104" spans="1:7" x14ac:dyDescent="0.25">
      <c r="A104" s="84" t="s">
        <v>305</v>
      </c>
      <c r="B104" s="151">
        <v>9979333.2799999993</v>
      </c>
      <c r="C104" s="151">
        <v>351965.74</v>
      </c>
      <c r="D104" s="151">
        <v>9639367.6199999992</v>
      </c>
      <c r="E104" s="151">
        <v>0</v>
      </c>
      <c r="F104" s="151">
        <v>5609694.3399999999</v>
      </c>
      <c r="G104" s="80">
        <f>D104-E104</f>
        <v>9639367.6199999992</v>
      </c>
    </row>
    <row r="105" spans="1:7" x14ac:dyDescent="0.25">
      <c r="A105" s="84" t="s">
        <v>306</v>
      </c>
      <c r="B105" s="151">
        <v>80500</v>
      </c>
      <c r="C105" s="80">
        <v>12000</v>
      </c>
      <c r="D105" s="151">
        <v>68500</v>
      </c>
      <c r="E105" s="151">
        <v>0</v>
      </c>
      <c r="F105" s="151">
        <v>37133.74</v>
      </c>
      <c r="G105" s="80">
        <f t="shared" ref="G105:G112" si="23">D105-E105</f>
        <v>68500</v>
      </c>
    </row>
    <row r="106" spans="1:7" x14ac:dyDescent="0.25">
      <c r="A106" s="84" t="s">
        <v>307</v>
      </c>
      <c r="B106" s="151">
        <v>6709354.8399999999</v>
      </c>
      <c r="C106" s="151">
        <v>3238985.01</v>
      </c>
      <c r="D106" s="151">
        <v>7090797.21</v>
      </c>
      <c r="E106" s="151">
        <v>0</v>
      </c>
      <c r="F106" s="151">
        <v>3149536.62</v>
      </c>
      <c r="G106" s="80">
        <f t="shared" si="23"/>
        <v>7090797.21</v>
      </c>
    </row>
    <row r="107" spans="1:7" x14ac:dyDescent="0.25">
      <c r="A107" s="84" t="s">
        <v>308</v>
      </c>
      <c r="B107" s="151">
        <v>515000</v>
      </c>
      <c r="C107" s="80">
        <v>3089.05</v>
      </c>
      <c r="D107" s="151">
        <v>518089.05</v>
      </c>
      <c r="E107" s="151">
        <v>0</v>
      </c>
      <c r="F107" s="151">
        <v>448839.76</v>
      </c>
      <c r="G107" s="80">
        <f t="shared" si="23"/>
        <v>518089.05</v>
      </c>
    </row>
    <row r="108" spans="1:7" x14ac:dyDescent="0.25">
      <c r="A108" s="84" t="s">
        <v>309</v>
      </c>
      <c r="B108" s="151">
        <v>130500</v>
      </c>
      <c r="C108" s="151">
        <v>504732</v>
      </c>
      <c r="D108" s="151">
        <v>557232</v>
      </c>
      <c r="E108" s="151">
        <v>0</v>
      </c>
      <c r="F108" s="151">
        <v>236702.59</v>
      </c>
      <c r="G108" s="80">
        <f t="shared" si="23"/>
        <v>557232</v>
      </c>
    </row>
    <row r="109" spans="1:7" x14ac:dyDescent="0.25">
      <c r="A109" s="84" t="s">
        <v>310</v>
      </c>
      <c r="B109" s="151">
        <v>24000</v>
      </c>
      <c r="C109" s="151">
        <v>58437.5</v>
      </c>
      <c r="D109" s="151">
        <v>82437.5</v>
      </c>
      <c r="E109" s="151">
        <v>0</v>
      </c>
      <c r="F109" s="151">
        <v>71083.08</v>
      </c>
      <c r="G109" s="80">
        <f t="shared" si="23"/>
        <v>82437.5</v>
      </c>
    </row>
    <row r="110" spans="1:7" x14ac:dyDescent="0.25">
      <c r="A110" s="84" t="s">
        <v>311</v>
      </c>
      <c r="B110" s="151">
        <v>80500</v>
      </c>
      <c r="C110" s="80">
        <v>0</v>
      </c>
      <c r="D110" s="151">
        <v>80500</v>
      </c>
      <c r="E110" s="151">
        <v>0</v>
      </c>
      <c r="F110" s="151">
        <v>47411.5</v>
      </c>
      <c r="G110" s="80">
        <f t="shared" si="23"/>
        <v>80500</v>
      </c>
    </row>
    <row r="111" spans="1:7" x14ac:dyDescent="0.25">
      <c r="A111" s="84" t="s">
        <v>312</v>
      </c>
      <c r="B111" s="80"/>
      <c r="C111" s="80"/>
      <c r="D111" s="80"/>
      <c r="E111" s="151"/>
      <c r="F111" s="80"/>
      <c r="G111" s="80">
        <f t="shared" si="23"/>
        <v>0</v>
      </c>
    </row>
    <row r="112" spans="1:7" x14ac:dyDescent="0.25">
      <c r="A112" s="84" t="s">
        <v>313</v>
      </c>
      <c r="B112" s="80">
        <v>741736</v>
      </c>
      <c r="C112" s="80">
        <v>45000</v>
      </c>
      <c r="D112" s="80">
        <v>786736</v>
      </c>
      <c r="E112" s="151">
        <v>0</v>
      </c>
      <c r="F112" s="80">
        <v>394055.05</v>
      </c>
      <c r="G112" s="80">
        <f t="shared" si="23"/>
        <v>786736</v>
      </c>
    </row>
    <row r="113" spans="1:7" x14ac:dyDescent="0.25">
      <c r="A113" s="83" t="s">
        <v>314</v>
      </c>
      <c r="B113" s="80">
        <f t="shared" ref="B113:G113" si="24">SUM(B114:B122)</f>
        <v>38070919.350000001</v>
      </c>
      <c r="C113" s="80">
        <f t="shared" si="24"/>
        <v>14040197.789999999</v>
      </c>
      <c r="D113" s="80">
        <f t="shared" si="24"/>
        <v>44817002.259999998</v>
      </c>
      <c r="E113" s="80">
        <f t="shared" si="24"/>
        <v>0</v>
      </c>
      <c r="F113" s="80">
        <f t="shared" si="24"/>
        <v>25090623.09</v>
      </c>
      <c r="G113" s="80">
        <f t="shared" si="24"/>
        <v>44817002.259999998</v>
      </c>
    </row>
    <row r="114" spans="1:7" x14ac:dyDescent="0.25">
      <c r="A114" s="84" t="s">
        <v>315</v>
      </c>
      <c r="B114" s="151">
        <v>2634012.7200000002</v>
      </c>
      <c r="C114" s="151">
        <v>381000</v>
      </c>
      <c r="D114" s="151">
        <v>3015012.72</v>
      </c>
      <c r="E114" s="151">
        <v>0</v>
      </c>
      <c r="F114" s="151">
        <v>1975509.54</v>
      </c>
      <c r="G114" s="80">
        <f>D114-E114</f>
        <v>3015012.72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5">D115-E115</f>
        <v>0</v>
      </c>
    </row>
    <row r="116" spans="1:7" x14ac:dyDescent="0.25">
      <c r="A116" s="84" t="s">
        <v>317</v>
      </c>
      <c r="B116" s="80">
        <v>4440000</v>
      </c>
      <c r="C116" s="80">
        <v>2427201.17</v>
      </c>
      <c r="D116" s="80">
        <v>4467201.17</v>
      </c>
      <c r="E116" s="80">
        <v>0</v>
      </c>
      <c r="F116" s="80">
        <v>3383494.26</v>
      </c>
      <c r="G116" s="80">
        <f t="shared" si="25"/>
        <v>4467201.17</v>
      </c>
    </row>
    <row r="117" spans="1:7" x14ac:dyDescent="0.25">
      <c r="A117" s="84" t="s">
        <v>318</v>
      </c>
      <c r="B117" s="151">
        <v>30696906.629999999</v>
      </c>
      <c r="C117" s="151">
        <v>11231996.619999999</v>
      </c>
      <c r="D117" s="151">
        <v>37034788.369999997</v>
      </c>
      <c r="E117" s="80">
        <v>0</v>
      </c>
      <c r="F117" s="151">
        <v>19515785.879999999</v>
      </c>
      <c r="G117" s="80">
        <f t="shared" si="25"/>
        <v>37034788.369999997</v>
      </c>
    </row>
    <row r="118" spans="1:7" x14ac:dyDescent="0.25">
      <c r="A118" s="84" t="s">
        <v>319</v>
      </c>
      <c r="B118" s="80"/>
      <c r="C118" s="80"/>
      <c r="D118" s="80"/>
      <c r="E118" s="151"/>
      <c r="F118" s="80"/>
      <c r="G118" s="80">
        <f t="shared" si="25"/>
        <v>0</v>
      </c>
    </row>
    <row r="119" spans="1:7" x14ac:dyDescent="0.25">
      <c r="A119" s="84" t="s">
        <v>320</v>
      </c>
      <c r="B119" s="80"/>
      <c r="C119" s="80"/>
      <c r="D119" s="80">
        <v>0</v>
      </c>
      <c r="E119" s="151"/>
      <c r="F119" s="80"/>
      <c r="G119" s="80">
        <f t="shared" si="25"/>
        <v>0</v>
      </c>
    </row>
    <row r="120" spans="1:7" x14ac:dyDescent="0.25">
      <c r="A120" s="84" t="s">
        <v>321</v>
      </c>
      <c r="B120" s="80"/>
      <c r="C120" s="80"/>
      <c r="D120" s="80">
        <v>0</v>
      </c>
      <c r="E120" s="80"/>
      <c r="F120" s="80"/>
      <c r="G120" s="80">
        <f t="shared" si="25"/>
        <v>0</v>
      </c>
    </row>
    <row r="121" spans="1:7" x14ac:dyDescent="0.25">
      <c r="A121" s="84" t="s">
        <v>322</v>
      </c>
      <c r="B121" s="151">
        <v>300000</v>
      </c>
      <c r="C121" s="151">
        <v>0</v>
      </c>
      <c r="D121" s="151">
        <v>300000</v>
      </c>
      <c r="E121" s="151">
        <v>0</v>
      </c>
      <c r="F121" s="151">
        <v>215833.41</v>
      </c>
      <c r="G121" s="80">
        <f t="shared" si="25"/>
        <v>300000</v>
      </c>
    </row>
    <row r="122" spans="1:7" x14ac:dyDescent="0.25">
      <c r="A122" s="84" t="s">
        <v>323</v>
      </c>
      <c r="B122" s="80"/>
      <c r="C122" s="80"/>
      <c r="D122" s="80">
        <v>0</v>
      </c>
      <c r="E122" s="80"/>
      <c r="F122" s="80"/>
      <c r="G122" s="80">
        <f t="shared" si="25"/>
        <v>0</v>
      </c>
    </row>
    <row r="123" spans="1:7" x14ac:dyDescent="0.25">
      <c r="A123" s="83" t="s">
        <v>324</v>
      </c>
      <c r="B123" s="80">
        <f t="shared" ref="B123:G123" si="26">SUM(B124:B132)</f>
        <v>4923069</v>
      </c>
      <c r="C123" s="80">
        <f t="shared" si="26"/>
        <v>8771491.1999999993</v>
      </c>
      <c r="D123" s="80">
        <f t="shared" si="26"/>
        <v>9844422.1999999993</v>
      </c>
      <c r="E123" s="80">
        <f t="shared" si="26"/>
        <v>0</v>
      </c>
      <c r="F123" s="80">
        <f t="shared" si="26"/>
        <v>6201588.2000000002</v>
      </c>
      <c r="G123" s="80">
        <f t="shared" si="26"/>
        <v>9844422.1999999993</v>
      </c>
    </row>
    <row r="124" spans="1:7" x14ac:dyDescent="0.25">
      <c r="A124" s="84" t="s">
        <v>325</v>
      </c>
      <c r="B124" s="151">
        <v>872284.8</v>
      </c>
      <c r="C124" s="151">
        <v>693284.8</v>
      </c>
      <c r="D124" s="151">
        <v>191000</v>
      </c>
      <c r="E124" s="151">
        <v>0</v>
      </c>
      <c r="F124" s="80">
        <v>165353.20000000001</v>
      </c>
      <c r="G124" s="80">
        <f>D124-E124</f>
        <v>191000</v>
      </c>
    </row>
    <row r="125" spans="1:7" x14ac:dyDescent="0.25">
      <c r="A125" s="84" t="s">
        <v>326</v>
      </c>
      <c r="B125" s="151">
        <v>252601</v>
      </c>
      <c r="C125" s="151">
        <v>278101</v>
      </c>
      <c r="D125" s="151">
        <v>37500</v>
      </c>
      <c r="E125" s="151">
        <v>0</v>
      </c>
      <c r="F125" s="80">
        <v>31320</v>
      </c>
      <c r="G125" s="80">
        <f t="shared" ref="G125:G132" si="27">D125-E125</f>
        <v>37500</v>
      </c>
    </row>
    <row r="126" spans="1:7" x14ac:dyDescent="0.25">
      <c r="A126" s="84" t="s">
        <v>327</v>
      </c>
      <c r="B126" s="151">
        <v>5000</v>
      </c>
      <c r="C126" s="80">
        <v>0</v>
      </c>
      <c r="D126" s="151">
        <v>5000</v>
      </c>
      <c r="E126" s="80">
        <v>0</v>
      </c>
      <c r="F126" s="151">
        <v>4800</v>
      </c>
      <c r="G126" s="80">
        <f t="shared" si="27"/>
        <v>5000</v>
      </c>
    </row>
    <row r="127" spans="1:7" x14ac:dyDescent="0.25">
      <c r="A127" s="84" t="s">
        <v>328</v>
      </c>
      <c r="B127" s="151">
        <v>3460000</v>
      </c>
      <c r="C127" s="151">
        <v>4030247.96</v>
      </c>
      <c r="D127" s="151">
        <v>7490247.96</v>
      </c>
      <c r="E127" s="80">
        <v>0</v>
      </c>
      <c r="F127" s="151">
        <v>5849400</v>
      </c>
      <c r="G127" s="80">
        <f t="shared" si="27"/>
        <v>7490247.96</v>
      </c>
    </row>
    <row r="128" spans="1:7" x14ac:dyDescent="0.25">
      <c r="A128" s="84" t="s">
        <v>329</v>
      </c>
      <c r="B128" s="80">
        <v>0</v>
      </c>
      <c r="C128" s="80">
        <v>1600000</v>
      </c>
      <c r="D128" s="80">
        <v>0</v>
      </c>
      <c r="E128" s="80">
        <v>0</v>
      </c>
      <c r="F128" s="80">
        <v>0</v>
      </c>
      <c r="G128" s="80">
        <f t="shared" si="27"/>
        <v>0</v>
      </c>
    </row>
    <row r="129" spans="1:7" x14ac:dyDescent="0.25">
      <c r="A129" s="84" t="s">
        <v>330</v>
      </c>
      <c r="B129" s="151">
        <v>332000</v>
      </c>
      <c r="C129" s="151">
        <v>840835.78</v>
      </c>
      <c r="D129" s="151">
        <v>792835.78</v>
      </c>
      <c r="E129" s="80">
        <v>0</v>
      </c>
      <c r="F129" s="151">
        <v>150715</v>
      </c>
      <c r="G129" s="80">
        <f t="shared" si="27"/>
        <v>792835.78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7"/>
        <v>0</v>
      </c>
    </row>
    <row r="131" spans="1:7" x14ac:dyDescent="0.25">
      <c r="A131" s="84" t="s">
        <v>332</v>
      </c>
      <c r="B131" s="80">
        <v>0</v>
      </c>
      <c r="C131" s="80">
        <v>1327838.46</v>
      </c>
      <c r="D131" s="80">
        <v>1327838.46</v>
      </c>
      <c r="E131" s="80">
        <v>0</v>
      </c>
      <c r="F131" s="80">
        <v>0</v>
      </c>
      <c r="G131" s="80">
        <f t="shared" si="27"/>
        <v>1327838.46</v>
      </c>
    </row>
    <row r="132" spans="1:7" x14ac:dyDescent="0.25">
      <c r="A132" s="84" t="s">
        <v>333</v>
      </c>
      <c r="B132" s="80">
        <v>1183.2</v>
      </c>
      <c r="C132" s="151">
        <v>1183.2</v>
      </c>
      <c r="D132" s="151">
        <v>0</v>
      </c>
      <c r="E132" s="80">
        <v>0</v>
      </c>
      <c r="F132" s="80">
        <v>0</v>
      </c>
      <c r="G132" s="80">
        <f t="shared" si="27"/>
        <v>0</v>
      </c>
    </row>
    <row r="133" spans="1:7" x14ac:dyDescent="0.25">
      <c r="A133" s="83" t="s">
        <v>334</v>
      </c>
      <c r="B133" s="80">
        <f t="shared" ref="B133:G133" si="28">SUM(B134:B136)</f>
        <v>83075375.739999995</v>
      </c>
      <c r="C133" s="80">
        <f t="shared" si="28"/>
        <v>111480077.98</v>
      </c>
      <c r="D133" s="80">
        <f t="shared" si="28"/>
        <v>170131299</v>
      </c>
      <c r="E133" s="80">
        <f t="shared" si="28"/>
        <v>0</v>
      </c>
      <c r="F133" s="80">
        <f t="shared" si="28"/>
        <v>96409329.319999993</v>
      </c>
      <c r="G133" s="80">
        <f t="shared" si="28"/>
        <v>170131299</v>
      </c>
    </row>
    <row r="134" spans="1:7" x14ac:dyDescent="0.25">
      <c r="A134" s="84" t="s">
        <v>335</v>
      </c>
      <c r="B134" s="151">
        <v>83075375.739999995</v>
      </c>
      <c r="C134" s="151">
        <v>108663808.2</v>
      </c>
      <c r="D134" s="151">
        <v>167626697.16</v>
      </c>
      <c r="E134" s="151">
        <v>0</v>
      </c>
      <c r="F134" s="151">
        <v>94584570.579999998</v>
      </c>
      <c r="G134" s="80">
        <f>D134-E134</f>
        <v>167626697.16</v>
      </c>
    </row>
    <row r="135" spans="1:7" x14ac:dyDescent="0.25">
      <c r="A135" s="84" t="s">
        <v>336</v>
      </c>
      <c r="B135" s="80">
        <v>0</v>
      </c>
      <c r="C135" s="151">
        <v>2816269.7800000003</v>
      </c>
      <c r="D135" s="151">
        <v>2504601.84</v>
      </c>
      <c r="E135" s="151">
        <v>0</v>
      </c>
      <c r="F135" s="151">
        <v>1824758.74</v>
      </c>
      <c r="G135" s="80">
        <f>D135-E135</f>
        <v>2504601.84</v>
      </c>
    </row>
    <row r="136" spans="1:7" x14ac:dyDescent="0.25">
      <c r="A136" s="84" t="s">
        <v>337</v>
      </c>
      <c r="B136" s="80"/>
      <c r="C136" s="80"/>
      <c r="D136" s="80">
        <v>0</v>
      </c>
      <c r="E136" s="80"/>
      <c r="F136" s="80"/>
      <c r="G136" s="80">
        <f>D136-E136</f>
        <v>0</v>
      </c>
    </row>
    <row r="137" spans="1:7" x14ac:dyDescent="0.25">
      <c r="A137" s="83" t="s">
        <v>338</v>
      </c>
      <c r="B137" s="80">
        <f t="shared" ref="B137:G137" si="29">SUM(B138:B142,B144:B145)</f>
        <v>0</v>
      </c>
      <c r="C137" s="80">
        <f t="shared" si="29"/>
        <v>0</v>
      </c>
      <c r="D137" s="80">
        <f t="shared" si="29"/>
        <v>0</v>
      </c>
      <c r="E137" s="80">
        <f t="shared" si="29"/>
        <v>0</v>
      </c>
      <c r="F137" s="80">
        <f t="shared" si="29"/>
        <v>0</v>
      </c>
      <c r="G137" s="80">
        <f t="shared" si="29"/>
        <v>0</v>
      </c>
    </row>
    <row r="138" spans="1:7" x14ac:dyDescent="0.25">
      <c r="A138" s="84" t="s">
        <v>339</v>
      </c>
      <c r="B138" s="80"/>
      <c r="C138" s="80"/>
      <c r="D138" s="80">
        <v>0</v>
      </c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>
        <v>0</v>
      </c>
      <c r="E139" s="80"/>
      <c r="F139" s="80"/>
      <c r="G139" s="80">
        <f t="shared" ref="G139:G145" si="30">D139-E139</f>
        <v>0</v>
      </c>
    </row>
    <row r="140" spans="1:7" x14ac:dyDescent="0.25">
      <c r="A140" s="84" t="s">
        <v>341</v>
      </c>
      <c r="B140" s="80"/>
      <c r="C140" s="80"/>
      <c r="D140" s="80">
        <v>0</v>
      </c>
      <c r="E140" s="80"/>
      <c r="F140" s="80"/>
      <c r="G140" s="80">
        <f t="shared" si="30"/>
        <v>0</v>
      </c>
    </row>
    <row r="141" spans="1:7" x14ac:dyDescent="0.25">
      <c r="A141" s="84" t="s">
        <v>342</v>
      </c>
      <c r="B141" s="80"/>
      <c r="C141" s="80"/>
      <c r="D141" s="80">
        <v>0</v>
      </c>
      <c r="E141" s="80"/>
      <c r="F141" s="80"/>
      <c r="G141" s="80">
        <f t="shared" si="30"/>
        <v>0</v>
      </c>
    </row>
    <row r="142" spans="1:7" x14ac:dyDescent="0.25">
      <c r="A142" s="84" t="s">
        <v>343</v>
      </c>
      <c r="B142" s="80"/>
      <c r="C142" s="80"/>
      <c r="D142" s="80">
        <v>0</v>
      </c>
      <c r="E142" s="80"/>
      <c r="F142" s="80"/>
      <c r="G142" s="80">
        <f t="shared" si="30"/>
        <v>0</v>
      </c>
    </row>
    <row r="143" spans="1:7" x14ac:dyDescent="0.25">
      <c r="A143" s="84" t="s">
        <v>3301</v>
      </c>
      <c r="B143" s="80"/>
      <c r="C143" s="80"/>
      <c r="D143" s="80">
        <v>0</v>
      </c>
      <c r="E143" s="80"/>
      <c r="F143" s="80"/>
      <c r="G143" s="80">
        <f t="shared" si="30"/>
        <v>0</v>
      </c>
    </row>
    <row r="144" spans="1:7" x14ac:dyDescent="0.25">
      <c r="A144" s="84" t="s">
        <v>345</v>
      </c>
      <c r="B144" s="80"/>
      <c r="C144" s="80"/>
      <c r="D144" s="80">
        <v>0</v>
      </c>
      <c r="E144" s="80"/>
      <c r="F144" s="80"/>
      <c r="G144" s="80">
        <f t="shared" si="30"/>
        <v>0</v>
      </c>
    </row>
    <row r="145" spans="1:7" x14ac:dyDescent="0.25">
      <c r="A145" s="84" t="s">
        <v>346</v>
      </c>
      <c r="B145" s="80"/>
      <c r="C145" s="80"/>
      <c r="D145" s="80">
        <v>0</v>
      </c>
      <c r="E145" s="80"/>
      <c r="F145" s="80"/>
      <c r="G145" s="80">
        <f t="shared" si="30"/>
        <v>0</v>
      </c>
    </row>
    <row r="146" spans="1:7" x14ac:dyDescent="0.25">
      <c r="A146" s="83" t="s">
        <v>347</v>
      </c>
      <c r="B146" s="80">
        <f t="shared" ref="B146:G146" si="31">SUM(B147:B149)</f>
        <v>15500000</v>
      </c>
      <c r="C146" s="80">
        <f t="shared" si="31"/>
        <v>18042356.350000001</v>
      </c>
      <c r="D146" s="80">
        <f t="shared" si="31"/>
        <v>13842356.35</v>
      </c>
      <c r="E146" s="80">
        <f t="shared" si="31"/>
        <v>0</v>
      </c>
      <c r="F146" s="80">
        <f t="shared" si="31"/>
        <v>13008587.939999999</v>
      </c>
      <c r="G146" s="80">
        <f t="shared" si="31"/>
        <v>13842356.35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>
        <v>0</v>
      </c>
      <c r="E148" s="80"/>
      <c r="F148" s="80"/>
      <c r="G148" s="80">
        <f>D148-E148</f>
        <v>0</v>
      </c>
    </row>
    <row r="149" spans="1:7" x14ac:dyDescent="0.25">
      <c r="A149" s="84" t="s">
        <v>350</v>
      </c>
      <c r="B149" s="151">
        <v>15500000</v>
      </c>
      <c r="C149" s="151">
        <v>18042356.350000001</v>
      </c>
      <c r="D149" s="151">
        <v>13842356.35</v>
      </c>
      <c r="E149" s="151">
        <v>0</v>
      </c>
      <c r="F149" s="151">
        <v>13008587.939999999</v>
      </c>
      <c r="G149" s="80">
        <f>D149-E149</f>
        <v>13842356.35</v>
      </c>
    </row>
    <row r="150" spans="1:7" x14ac:dyDescent="0.25">
      <c r="A150" s="83" t="s">
        <v>351</v>
      </c>
      <c r="B150" s="80">
        <f t="shared" ref="B150:G150" si="32">SUM(B151:B157)</f>
        <v>0</v>
      </c>
      <c r="C150" s="80">
        <f t="shared" si="32"/>
        <v>0</v>
      </c>
      <c r="D150" s="80">
        <f t="shared" si="32"/>
        <v>0</v>
      </c>
      <c r="E150" s="80">
        <f t="shared" si="32"/>
        <v>0</v>
      </c>
      <c r="F150" s="80">
        <f t="shared" si="32"/>
        <v>0</v>
      </c>
      <c r="G150" s="80">
        <f t="shared" si="32"/>
        <v>0</v>
      </c>
    </row>
    <row r="151" spans="1:7" x14ac:dyDescent="0.25">
      <c r="A151" s="84" t="s">
        <v>352</v>
      </c>
      <c r="B151" s="80"/>
      <c r="C151" s="80"/>
      <c r="D151" s="80">
        <v>0</v>
      </c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>
        <v>0</v>
      </c>
      <c r="E152" s="80"/>
      <c r="F152" s="80"/>
      <c r="G152" s="80">
        <f t="shared" ref="G152:G157" si="33">D152-E152</f>
        <v>0</v>
      </c>
    </row>
    <row r="153" spans="1:7" x14ac:dyDescent="0.25">
      <c r="A153" s="84" t="s">
        <v>354</v>
      </c>
      <c r="B153" s="80"/>
      <c r="C153" s="80"/>
      <c r="D153" s="80">
        <v>0</v>
      </c>
      <c r="E153" s="80"/>
      <c r="F153" s="80"/>
      <c r="G153" s="80">
        <f t="shared" si="33"/>
        <v>0</v>
      </c>
    </row>
    <row r="154" spans="1:7" x14ac:dyDescent="0.25">
      <c r="A154" s="42" t="s">
        <v>355</v>
      </c>
      <c r="B154" s="80"/>
      <c r="C154" s="80"/>
      <c r="D154" s="80">
        <v>0</v>
      </c>
      <c r="E154" s="80"/>
      <c r="F154" s="80"/>
      <c r="G154" s="80">
        <f t="shared" si="33"/>
        <v>0</v>
      </c>
    </row>
    <row r="155" spans="1:7" x14ac:dyDescent="0.25">
      <c r="A155" s="84" t="s">
        <v>356</v>
      </c>
      <c r="B155" s="80"/>
      <c r="C155" s="80"/>
      <c r="D155" s="80">
        <v>0</v>
      </c>
      <c r="E155" s="80"/>
      <c r="F155" s="80"/>
      <c r="G155" s="80">
        <f t="shared" si="33"/>
        <v>0</v>
      </c>
    </row>
    <row r="156" spans="1:7" x14ac:dyDescent="0.25">
      <c r="A156" s="84" t="s">
        <v>357</v>
      </c>
      <c r="B156" s="80"/>
      <c r="C156" s="80"/>
      <c r="D156" s="80">
        <v>0</v>
      </c>
      <c r="E156" s="80"/>
      <c r="F156" s="80"/>
      <c r="G156" s="80">
        <f t="shared" si="33"/>
        <v>0</v>
      </c>
    </row>
    <row r="157" spans="1:7" x14ac:dyDescent="0.25">
      <c r="A157" s="84" t="s">
        <v>358</v>
      </c>
      <c r="B157" s="80"/>
      <c r="C157" s="80"/>
      <c r="D157" s="80">
        <v>0</v>
      </c>
      <c r="E157" s="80"/>
      <c r="F157" s="80"/>
      <c r="G157" s="80">
        <f t="shared" si="33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368848399.24000001</v>
      </c>
      <c r="C159" s="79">
        <f t="shared" ref="C159:G159" si="34">C9+C84</f>
        <v>218748414.21999997</v>
      </c>
      <c r="D159" s="79">
        <f t="shared" si="34"/>
        <v>524013874.34000003</v>
      </c>
      <c r="E159" s="79">
        <f t="shared" si="34"/>
        <v>7213</v>
      </c>
      <c r="F159" s="79">
        <f t="shared" si="34"/>
        <v>297146137.31999999</v>
      </c>
      <c r="G159" s="79">
        <f t="shared" si="34"/>
        <v>524006661.34000003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4" orientation="portrait" r:id="rId1"/>
  <rowBreaks count="1" manualBreakCount="1">
    <brk id="11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166030953.16000003</v>
      </c>
      <c r="Q2" s="18">
        <f>'Formato 6 a)'!C9</f>
        <v>55949221.170000002</v>
      </c>
      <c r="R2" s="18">
        <f>'Formato 6 a)'!D9</f>
        <v>221980174.32999998</v>
      </c>
      <c r="S2" s="18">
        <f>'Formato 6 a)'!E9</f>
        <v>7213</v>
      </c>
      <c r="T2" s="18">
        <f>'Formato 6 a)'!F9</f>
        <v>117824903.38000001</v>
      </c>
      <c r="U2" s="18">
        <f>'Formato 6 a)'!G9</f>
        <v>221972961.32999998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79696928.090000004</v>
      </c>
      <c r="Q3" s="18">
        <f>'Formato 6 a)'!C10</f>
        <v>-30000</v>
      </c>
      <c r="R3" s="18">
        <f>'Formato 6 a)'!D10</f>
        <v>79666928.090000004</v>
      </c>
      <c r="S3" s="18">
        <f>'Formato 6 a)'!E10</f>
        <v>0</v>
      </c>
      <c r="T3" s="18">
        <f>'Formato 6 a)'!F10</f>
        <v>45751898.93</v>
      </c>
      <c r="U3" s="18">
        <f>'Formato 6 a)'!G10</f>
        <v>79666928.090000004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44825061.350000001</v>
      </c>
      <c r="Q4" s="18">
        <f>'Formato 6 a)'!C11</f>
        <v>-72725.11</v>
      </c>
      <c r="R4" s="18">
        <f>'Formato 6 a)'!D11</f>
        <v>44752336.240000002</v>
      </c>
      <c r="S4" s="18">
        <f>'Formato 6 a)'!E11</f>
        <v>0</v>
      </c>
      <c r="T4" s="18">
        <f>'Formato 6 a)'!F11</f>
        <v>31353731.129999999</v>
      </c>
      <c r="U4" s="18">
        <f>'Formato 6 a)'!G11</f>
        <v>44752336.240000002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6379159.5</v>
      </c>
      <c r="Q6" s="18">
        <f>'Formato 6 a)'!C13</f>
        <v>72725.11</v>
      </c>
      <c r="R6" s="18">
        <f>'Formato 6 a)'!D13</f>
        <v>6451884.6100000003</v>
      </c>
      <c r="S6" s="18">
        <f>'Formato 6 a)'!E13</f>
        <v>0</v>
      </c>
      <c r="T6" s="18">
        <f>'Formato 6 a)'!F13</f>
        <v>1107850.8400000001</v>
      </c>
      <c r="U6" s="18">
        <f>'Formato 6 a)'!G13</f>
        <v>6451884.6100000003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13213915.99</v>
      </c>
      <c r="Q7" s="18">
        <f>'Formato 6 a)'!C14</f>
        <v>0</v>
      </c>
      <c r="R7" s="18">
        <f>'Formato 6 a)'!D14</f>
        <v>13213915.99</v>
      </c>
      <c r="S7" s="18">
        <f>'Formato 6 a)'!E14</f>
        <v>0</v>
      </c>
      <c r="T7" s="18">
        <f>'Formato 6 a)'!F14</f>
        <v>6632320.5999999996</v>
      </c>
      <c r="U7" s="18">
        <f>'Formato 6 a)'!G14</f>
        <v>13213915.99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15278791.25</v>
      </c>
      <c r="Q8" s="18">
        <f>'Formato 6 a)'!C15</f>
        <v>-30000</v>
      </c>
      <c r="R8" s="18">
        <f>'Formato 6 a)'!D15</f>
        <v>15248791.25</v>
      </c>
      <c r="S8" s="18">
        <f>'Formato 6 a)'!E15</f>
        <v>0</v>
      </c>
      <c r="T8" s="18">
        <f>'Formato 6 a)'!F15</f>
        <v>6657996.3600000003</v>
      </c>
      <c r="U8" s="18">
        <f>'Formato 6 a)'!G15</f>
        <v>15248791.25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13009055.240000002</v>
      </c>
      <c r="Q11" s="18">
        <f>'Formato 6 a)'!C18</f>
        <v>2669399.56</v>
      </c>
      <c r="R11" s="18">
        <f>'Formato 6 a)'!D18</f>
        <v>15678454.800000001</v>
      </c>
      <c r="S11" s="18">
        <f>'Formato 6 a)'!E18</f>
        <v>0</v>
      </c>
      <c r="T11" s="18">
        <f>'Formato 6 a)'!F18</f>
        <v>8671631.8499999996</v>
      </c>
      <c r="U11" s="18">
        <f>'Formato 6 a)'!G18</f>
        <v>15678454.800000001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1624698.67</v>
      </c>
      <c r="Q12" s="18">
        <f>'Formato 6 a)'!C19</f>
        <v>33234.959999999999</v>
      </c>
      <c r="R12" s="18">
        <f>'Formato 6 a)'!D19</f>
        <v>1657933.63</v>
      </c>
      <c r="S12" s="18">
        <f>'Formato 6 a)'!E19</f>
        <v>0</v>
      </c>
      <c r="T12" s="18">
        <f>'Formato 6 a)'!F19</f>
        <v>1067869.04</v>
      </c>
      <c r="U12" s="18">
        <f>'Formato 6 a)'!G19</f>
        <v>1657933.63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272938.68</v>
      </c>
      <c r="Q13" s="18">
        <f>'Formato 6 a)'!C20</f>
        <v>58500</v>
      </c>
      <c r="R13" s="18">
        <f>'Formato 6 a)'!D20</f>
        <v>331438.68</v>
      </c>
      <c r="S13" s="18">
        <f>'Formato 6 a)'!E20</f>
        <v>0</v>
      </c>
      <c r="T13" s="18">
        <f>'Formato 6 a)'!F20</f>
        <v>201343.11</v>
      </c>
      <c r="U13" s="18">
        <f>'Formato 6 a)'!G20</f>
        <v>331438.68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300</v>
      </c>
      <c r="R14" s="18">
        <f>'Formato 6 a)'!D21</f>
        <v>300</v>
      </c>
      <c r="S14" s="18">
        <f>'Formato 6 a)'!E21</f>
        <v>0</v>
      </c>
      <c r="T14" s="18">
        <f>'Formato 6 a)'!F21</f>
        <v>0</v>
      </c>
      <c r="U14" s="18">
        <f>'Formato 6 a)'!G21</f>
        <v>300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2012876.86</v>
      </c>
      <c r="Q15" s="18">
        <f>'Formato 6 a)'!C22</f>
        <v>112555.04000000001</v>
      </c>
      <c r="R15" s="18">
        <f>'Formato 6 a)'!D22</f>
        <v>2125431.9</v>
      </c>
      <c r="S15" s="18">
        <f>'Formato 6 a)'!E22</f>
        <v>0</v>
      </c>
      <c r="T15" s="18">
        <f>'Formato 6 a)'!F22</f>
        <v>562011.18000000005</v>
      </c>
      <c r="U15" s="18">
        <f>'Formato 6 a)'!G22</f>
        <v>2125431.9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37497.75</v>
      </c>
      <c r="Q16" s="18">
        <f>'Formato 6 a)'!C23</f>
        <v>-5000</v>
      </c>
      <c r="R16" s="18">
        <f>'Formato 6 a)'!D23</f>
        <v>32497.75</v>
      </c>
      <c r="S16" s="18">
        <f>'Formato 6 a)'!E23</f>
        <v>0</v>
      </c>
      <c r="T16" s="18">
        <f>'Formato 6 a)'!F23</f>
        <v>671</v>
      </c>
      <c r="U16" s="18">
        <f>'Formato 6 a)'!G23</f>
        <v>32497.75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6444357.4400000004</v>
      </c>
      <c r="Q17" s="18">
        <f>'Formato 6 a)'!C24</f>
        <v>153122.02000000002</v>
      </c>
      <c r="R17" s="18">
        <f>'Formato 6 a)'!D24</f>
        <v>6597479.46</v>
      </c>
      <c r="S17" s="18">
        <f>'Formato 6 a)'!E24</f>
        <v>0</v>
      </c>
      <c r="T17" s="18">
        <f>'Formato 6 a)'!F24</f>
        <v>4962595.68</v>
      </c>
      <c r="U17" s="18">
        <f>'Formato 6 a)'!G24</f>
        <v>6597479.46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203746.63</v>
      </c>
      <c r="Q18" s="18">
        <f>'Formato 6 a)'!C25</f>
        <v>-12546.629999999997</v>
      </c>
      <c r="R18" s="18">
        <f>'Formato 6 a)'!D25</f>
        <v>191200</v>
      </c>
      <c r="S18" s="18">
        <f>'Formato 6 a)'!E25</f>
        <v>0</v>
      </c>
      <c r="T18" s="18">
        <f>'Formato 6 a)'!F25</f>
        <v>51932.34</v>
      </c>
      <c r="U18" s="18">
        <f>'Formato 6 a)'!G25</f>
        <v>191200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1947738.75</v>
      </c>
      <c r="R19" s="18">
        <f>'Formato 6 a)'!D26</f>
        <v>1947738.75</v>
      </c>
      <c r="S19" s="18">
        <f>'Formato 6 a)'!E26</f>
        <v>0</v>
      </c>
      <c r="T19" s="18">
        <f>'Formato 6 a)'!F26</f>
        <v>23500.45</v>
      </c>
      <c r="U19" s="18">
        <f>'Formato 6 a)'!G26</f>
        <v>1947738.75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2412939.21</v>
      </c>
      <c r="Q20" s="18">
        <f>'Formato 6 a)'!C27</f>
        <v>381495.42</v>
      </c>
      <c r="R20" s="18">
        <f>'Formato 6 a)'!D27</f>
        <v>2794434.63</v>
      </c>
      <c r="S20" s="18">
        <f>'Formato 6 a)'!E27</f>
        <v>0</v>
      </c>
      <c r="T20" s="18">
        <f>'Formato 6 a)'!F27</f>
        <v>1801709.05</v>
      </c>
      <c r="U20" s="18">
        <f>'Formato 6 a)'!G27</f>
        <v>2794434.63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17481137.469999999</v>
      </c>
      <c r="Q21" s="18">
        <f>'Formato 6 a)'!C28</f>
        <v>10259866.050000001</v>
      </c>
      <c r="R21" s="18">
        <f>'Formato 6 a)'!D28</f>
        <v>27741003.52</v>
      </c>
      <c r="S21" s="18">
        <f>'Formato 6 a)'!E28</f>
        <v>7213</v>
      </c>
      <c r="T21" s="18">
        <f>'Formato 6 a)'!F28</f>
        <v>14459459.460000001</v>
      </c>
      <c r="U21" s="18">
        <f>'Formato 6 a)'!G28</f>
        <v>27733790.52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1952570.88</v>
      </c>
      <c r="Q22" s="18">
        <f>'Formato 6 a)'!C29</f>
        <v>2944898</v>
      </c>
      <c r="R22" s="18">
        <f>'Formato 6 a)'!D29</f>
        <v>4897468.88</v>
      </c>
      <c r="S22" s="18">
        <f>'Formato 6 a)'!E29</f>
        <v>0</v>
      </c>
      <c r="T22" s="18">
        <f>'Formato 6 a)'!F29</f>
        <v>1023739.65</v>
      </c>
      <c r="U22" s="18">
        <f>'Formato 6 a)'!G29</f>
        <v>4897468.88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1541649.27</v>
      </c>
      <c r="Q23" s="18">
        <f>'Formato 6 a)'!C30</f>
        <v>306709.19</v>
      </c>
      <c r="R23" s="18">
        <f>'Formato 6 a)'!D30</f>
        <v>1848358.46</v>
      </c>
      <c r="S23" s="18">
        <f>'Formato 6 a)'!E30</f>
        <v>0</v>
      </c>
      <c r="T23" s="18">
        <f>'Formato 6 a)'!F30</f>
        <v>943099.64</v>
      </c>
      <c r="U23" s="18">
        <f>'Formato 6 a)'!G30</f>
        <v>1848358.46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2424541.39</v>
      </c>
      <c r="Q24" s="18">
        <f>'Formato 6 a)'!C31</f>
        <v>444302.43</v>
      </c>
      <c r="R24" s="18">
        <f>'Formato 6 a)'!D31</f>
        <v>2868843.82</v>
      </c>
      <c r="S24" s="18">
        <f>'Formato 6 a)'!E31</f>
        <v>0</v>
      </c>
      <c r="T24" s="18">
        <f>'Formato 6 a)'!F31</f>
        <v>1429781.61</v>
      </c>
      <c r="U24" s="18">
        <f>'Formato 6 a)'!G31</f>
        <v>2868843.82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1258225.23</v>
      </c>
      <c r="Q25" s="18">
        <f>'Formato 6 a)'!C32</f>
        <v>723170.21</v>
      </c>
      <c r="R25" s="18">
        <f>'Formato 6 a)'!D32</f>
        <v>1981395.44</v>
      </c>
      <c r="S25" s="18">
        <f>'Formato 6 a)'!E32</f>
        <v>0</v>
      </c>
      <c r="T25" s="18">
        <f>'Formato 6 a)'!F32</f>
        <v>1148003.8400000001</v>
      </c>
      <c r="U25" s="18">
        <f>'Formato 6 a)'!G32</f>
        <v>1981395.44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2084688.65</v>
      </c>
      <c r="Q26" s="18">
        <f>'Formato 6 a)'!C33</f>
        <v>304788</v>
      </c>
      <c r="R26" s="18">
        <f>'Formato 6 a)'!D33</f>
        <v>2389476.65</v>
      </c>
      <c r="S26" s="18">
        <f>'Formato 6 a)'!E33</f>
        <v>0</v>
      </c>
      <c r="T26" s="18">
        <f>'Formato 6 a)'!F33</f>
        <v>1035096.31</v>
      </c>
      <c r="U26" s="18">
        <f>'Formato 6 a)'!G33</f>
        <v>2389476.65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588100.04</v>
      </c>
      <c r="Q27" s="18">
        <f>'Formato 6 a)'!C34</f>
        <v>154062.50000000003</v>
      </c>
      <c r="R27" s="18">
        <f>'Formato 6 a)'!D34</f>
        <v>742162.54</v>
      </c>
      <c r="S27" s="18">
        <f>'Formato 6 a)'!E34</f>
        <v>0</v>
      </c>
      <c r="T27" s="18">
        <f>'Formato 6 a)'!F34</f>
        <v>485237.65</v>
      </c>
      <c r="U27" s="18">
        <f>'Formato 6 a)'!G34</f>
        <v>742162.54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187332.42</v>
      </c>
      <c r="Q28" s="18">
        <f>'Formato 6 a)'!C35</f>
        <v>-8000</v>
      </c>
      <c r="R28" s="18">
        <f>'Formato 6 a)'!D35</f>
        <v>179332.42</v>
      </c>
      <c r="S28" s="18">
        <f>'Formato 6 a)'!E35</f>
        <v>0</v>
      </c>
      <c r="T28" s="18">
        <f>'Formato 6 a)'!F35</f>
        <v>68746.63</v>
      </c>
      <c r="U28" s="18">
        <f>'Formato 6 a)'!G35</f>
        <v>179332.42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3236346.1</v>
      </c>
      <c r="Q29" s="18">
        <f>'Formato 6 a)'!C36</f>
        <v>2362108.69</v>
      </c>
      <c r="R29" s="18">
        <f>'Formato 6 a)'!D36</f>
        <v>5598454.79</v>
      </c>
      <c r="S29" s="18">
        <f>'Formato 6 a)'!E36</f>
        <v>7213</v>
      </c>
      <c r="T29" s="18">
        <f>'Formato 6 a)'!F36</f>
        <v>3864428.31</v>
      </c>
      <c r="U29" s="18">
        <f>'Formato 6 a)'!G36</f>
        <v>5591241.79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4207683.49</v>
      </c>
      <c r="Q30" s="18">
        <f>'Formato 6 a)'!C37</f>
        <v>3027827.0300000003</v>
      </c>
      <c r="R30" s="18">
        <f>'Formato 6 a)'!D37</f>
        <v>7235510.5199999996</v>
      </c>
      <c r="S30" s="18">
        <f>'Formato 6 a)'!E37</f>
        <v>0</v>
      </c>
      <c r="T30" s="18">
        <f>'Formato 6 a)'!F37</f>
        <v>4461325.82</v>
      </c>
      <c r="U30" s="18">
        <f>'Formato 6 a)'!G37</f>
        <v>7235510.5199999996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29654782.210000001</v>
      </c>
      <c r="Q31" s="18">
        <f>'Formato 6 a)'!C38</f>
        <v>11600726.049999999</v>
      </c>
      <c r="R31" s="18">
        <f>'Formato 6 a)'!D38</f>
        <v>41255508.259999998</v>
      </c>
      <c r="S31" s="18">
        <f>'Formato 6 a)'!E38</f>
        <v>0</v>
      </c>
      <c r="T31" s="18">
        <f>'Formato 6 a)'!F38</f>
        <v>29160219.050000001</v>
      </c>
      <c r="U31" s="18">
        <f>'Formato 6 a)'!G38</f>
        <v>41255508.259999998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10806000</v>
      </c>
      <c r="Q32" s="18">
        <f>'Formato 6 a)'!C39</f>
        <v>400000</v>
      </c>
      <c r="R32" s="18">
        <f>'Formato 6 a)'!D39</f>
        <v>11206000</v>
      </c>
      <c r="S32" s="18">
        <f>'Formato 6 a)'!E39</f>
        <v>0</v>
      </c>
      <c r="T32" s="18">
        <f>'Formato 6 a)'!F39</f>
        <v>8504500</v>
      </c>
      <c r="U32" s="18">
        <f>'Formato 6 a)'!G39</f>
        <v>11206000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8369130.4100000001</v>
      </c>
      <c r="Q34" s="18">
        <f>'Formato 6 a)'!C41</f>
        <v>9505249.4299999997</v>
      </c>
      <c r="R34" s="18">
        <f>'Formato 6 a)'!D41</f>
        <v>17874379.84</v>
      </c>
      <c r="S34" s="18">
        <f>'Formato 6 a)'!E41</f>
        <v>0</v>
      </c>
      <c r="T34" s="18">
        <f>'Formato 6 a)'!F41</f>
        <v>13331434.83</v>
      </c>
      <c r="U34" s="18">
        <f>'Formato 6 a)'!G41</f>
        <v>17874379.84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3233970.21</v>
      </c>
      <c r="Q35" s="18">
        <f>'Formato 6 a)'!C42</f>
        <v>1681737.5</v>
      </c>
      <c r="R35" s="18">
        <f>'Formato 6 a)'!D42</f>
        <v>4915707.71</v>
      </c>
      <c r="S35" s="18">
        <f>'Formato 6 a)'!E42</f>
        <v>0</v>
      </c>
      <c r="T35" s="18">
        <f>'Formato 6 a)'!F42</f>
        <v>2669636.92</v>
      </c>
      <c r="U35" s="18">
        <f>'Formato 6 a)'!G42</f>
        <v>4915707.71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6688338.75</v>
      </c>
      <c r="Q36" s="18">
        <f>'Formato 6 a)'!C43</f>
        <v>359789.12</v>
      </c>
      <c r="R36" s="18">
        <f>'Formato 6 a)'!D43</f>
        <v>7048127.8700000001</v>
      </c>
      <c r="S36" s="18">
        <f>'Formato 6 a)'!E43</f>
        <v>0</v>
      </c>
      <c r="T36" s="18">
        <f>'Formato 6 a)'!F43</f>
        <v>4475697.3</v>
      </c>
      <c r="U36" s="18">
        <f>'Formato 6 a)'!G43</f>
        <v>7048127.8700000001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557342.84</v>
      </c>
      <c r="Q39" s="18">
        <f>'Formato 6 a)'!C46</f>
        <v>-346050</v>
      </c>
      <c r="R39" s="18">
        <f>'Formato 6 a)'!D46</f>
        <v>211292.84</v>
      </c>
      <c r="S39" s="18">
        <f>'Formato 6 a)'!E46</f>
        <v>0</v>
      </c>
      <c r="T39" s="18">
        <f>'Formato 6 a)'!F46</f>
        <v>178950</v>
      </c>
      <c r="U39" s="18">
        <f>'Formato 6 a)'!G46</f>
        <v>211292.84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1738389</v>
      </c>
      <c r="Q41" s="18">
        <f>'Formato 6 a)'!C48</f>
        <v>3459880.91</v>
      </c>
      <c r="R41" s="18">
        <f>'Formato 6 a)'!D48</f>
        <v>5198269.91</v>
      </c>
      <c r="S41" s="18">
        <f>'Formato 6 a)'!E48</f>
        <v>0</v>
      </c>
      <c r="T41" s="18">
        <f>'Formato 6 a)'!F48</f>
        <v>1557841.5</v>
      </c>
      <c r="U41" s="18">
        <f>'Formato 6 a)'!G48</f>
        <v>5198269.91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98790</v>
      </c>
      <c r="Q42" s="18">
        <f>'Formato 6 a)'!C49</f>
        <v>703925.87</v>
      </c>
      <c r="R42" s="18">
        <f>'Formato 6 a)'!D49</f>
        <v>802715.87</v>
      </c>
      <c r="S42" s="18">
        <f>'Formato 6 a)'!E49</f>
        <v>0</v>
      </c>
      <c r="T42" s="18">
        <f>'Formato 6 a)'!F49</f>
        <v>300362.61</v>
      </c>
      <c r="U42" s="18">
        <f>'Formato 6 a)'!G49</f>
        <v>802715.87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221600</v>
      </c>
      <c r="Q43" s="18">
        <f>'Formato 6 a)'!C50</f>
        <v>135300</v>
      </c>
      <c r="R43" s="18">
        <f>'Formato 6 a)'!D50</f>
        <v>356900</v>
      </c>
      <c r="S43" s="18">
        <f>'Formato 6 a)'!E50</f>
        <v>0</v>
      </c>
      <c r="T43" s="18">
        <f>'Formato 6 a)'!F50</f>
        <v>90200.89</v>
      </c>
      <c r="U43" s="18">
        <f>'Formato 6 a)'!G50</f>
        <v>356900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45000</v>
      </c>
      <c r="R45" s="18">
        <f>'Formato 6 a)'!D52</f>
        <v>45000</v>
      </c>
      <c r="S45" s="18">
        <f>'Formato 6 a)'!E52</f>
        <v>0</v>
      </c>
      <c r="T45" s="18">
        <f>'Formato 6 a)'!F52</f>
        <v>0</v>
      </c>
      <c r="U45" s="18">
        <f>'Formato 6 a)'!G52</f>
        <v>45000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1299994.5</v>
      </c>
      <c r="R46" s="18">
        <f>'Formato 6 a)'!D53</f>
        <v>1299994.5</v>
      </c>
      <c r="S46" s="18">
        <f>'Formato 6 a)'!E53</f>
        <v>0</v>
      </c>
      <c r="T46" s="18">
        <f>'Formato 6 a)'!F53</f>
        <v>0</v>
      </c>
      <c r="U46" s="18">
        <f>'Formato 6 a)'!G53</f>
        <v>1299994.5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8000</v>
      </c>
      <c r="Q47" s="18">
        <f>'Formato 6 a)'!C54</f>
        <v>146320.13</v>
      </c>
      <c r="R47" s="18">
        <f>'Formato 6 a)'!D54</f>
        <v>154320.13</v>
      </c>
      <c r="S47" s="18">
        <f>'Formato 6 a)'!E54</f>
        <v>0</v>
      </c>
      <c r="T47" s="18">
        <f>'Formato 6 a)'!F54</f>
        <v>29510.400000000001</v>
      </c>
      <c r="U47" s="18">
        <f>'Formato 6 a)'!G54</f>
        <v>154320.13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1200000</v>
      </c>
      <c r="Q49" s="18">
        <f>'Formato 6 a)'!C56</f>
        <v>1129340.4100000001</v>
      </c>
      <c r="R49" s="18">
        <f>'Formato 6 a)'!D56</f>
        <v>2329340.41</v>
      </c>
      <c r="S49" s="18">
        <f>'Formato 6 a)'!E56</f>
        <v>0</v>
      </c>
      <c r="T49" s="18">
        <f>'Formato 6 a)'!F56</f>
        <v>930000</v>
      </c>
      <c r="U49" s="18">
        <f>'Formato 6 a)'!G56</f>
        <v>2329340.41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209999</v>
      </c>
      <c r="Q50" s="18">
        <f>'Formato 6 a)'!C57</f>
        <v>0</v>
      </c>
      <c r="R50" s="18">
        <f>'Formato 6 a)'!D57</f>
        <v>209999</v>
      </c>
      <c r="S50" s="18">
        <f>'Formato 6 a)'!E57</f>
        <v>0</v>
      </c>
      <c r="T50" s="18">
        <f>'Formato 6 a)'!F57</f>
        <v>207767.6</v>
      </c>
      <c r="U50" s="18">
        <f>'Formato 6 a)'!G57</f>
        <v>209999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24450661.149999999</v>
      </c>
      <c r="Q51" s="18">
        <f>'Formato 6 a)'!C58</f>
        <v>25760705.82</v>
      </c>
      <c r="R51" s="18">
        <f>'Formato 6 a)'!D58</f>
        <v>50211366.969999999</v>
      </c>
      <c r="S51" s="18">
        <f>'Formato 6 a)'!E58</f>
        <v>0</v>
      </c>
      <c r="T51" s="18">
        <f>'Formato 6 a)'!F58</f>
        <v>17307352.59</v>
      </c>
      <c r="U51" s="18">
        <f>'Formato 6 a)'!G58</f>
        <v>50211366.969999999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23450661.149999999</v>
      </c>
      <c r="Q52" s="18">
        <f>'Formato 6 a)'!C59</f>
        <v>24718934.09</v>
      </c>
      <c r="R52" s="18">
        <f>'Formato 6 a)'!D59</f>
        <v>48169595.240000002</v>
      </c>
      <c r="S52" s="18">
        <f>'Formato 6 a)'!E59</f>
        <v>0</v>
      </c>
      <c r="T52" s="18">
        <f>'Formato 6 a)'!F59</f>
        <v>15639968.609999999</v>
      </c>
      <c r="U52" s="18">
        <f>'Formato 6 a)'!G59</f>
        <v>48169595.240000002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1000000</v>
      </c>
      <c r="Q53" s="18">
        <f>'Formato 6 a)'!C60</f>
        <v>1041771.73</v>
      </c>
      <c r="R53" s="18">
        <f>'Formato 6 a)'!D60</f>
        <v>2041771.73</v>
      </c>
      <c r="S53" s="18">
        <f>'Formato 6 a)'!E60</f>
        <v>0</v>
      </c>
      <c r="T53" s="18">
        <f>'Formato 6 a)'!F60</f>
        <v>1667383.98</v>
      </c>
      <c r="U53" s="18">
        <f>'Formato 6 a)'!G60</f>
        <v>2041771.73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1799932.88</v>
      </c>
      <c r="R64" s="18">
        <f>'Formato 6 a)'!D71</f>
        <v>1799932.88</v>
      </c>
      <c r="S64" s="18">
        <f>'Formato 6 a)'!E71</f>
        <v>0</v>
      </c>
      <c r="T64" s="18">
        <f>'Formato 6 a)'!F71</f>
        <v>916500</v>
      </c>
      <c r="U64" s="18">
        <f>'Formato 6 a)'!G71</f>
        <v>1799932.88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1799932.88</v>
      </c>
      <c r="R67" s="18">
        <f>'Formato 6 a)'!D74</f>
        <v>1799932.88</v>
      </c>
      <c r="S67" s="18">
        <f>'Formato 6 a)'!E74</f>
        <v>0</v>
      </c>
      <c r="T67" s="18">
        <f>'Formato 6 a)'!F74</f>
        <v>916500</v>
      </c>
      <c r="U67" s="18">
        <f>'Formato 6 a)'!G74</f>
        <v>1799932.88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428709.9</v>
      </c>
      <c r="R68" s="18">
        <f>'Formato 6 a)'!D75</f>
        <v>428709.9</v>
      </c>
      <c r="S68" s="18">
        <f>'Formato 6 a)'!E75</f>
        <v>0</v>
      </c>
      <c r="T68" s="18">
        <f>'Formato 6 a)'!F75</f>
        <v>0</v>
      </c>
      <c r="U68" s="18">
        <f>'Formato 6 a)'!G75</f>
        <v>428709.9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428709.9</v>
      </c>
      <c r="R75" s="18">
        <f>'Formato 6 a)'!D82</f>
        <v>428709.9</v>
      </c>
      <c r="S75" s="18">
        <f>'Formato 6 a)'!E82</f>
        <v>0</v>
      </c>
      <c r="T75" s="18">
        <f>'Formato 6 a)'!F82</f>
        <v>0</v>
      </c>
      <c r="U75" s="18">
        <f>'Formato 6 a)'!G82</f>
        <v>428709.9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202817446.07999998</v>
      </c>
      <c r="Q76">
        <f>'Formato 6 a)'!C84</f>
        <v>162799193.04999998</v>
      </c>
      <c r="R76">
        <f>'Formato 6 a)'!D84</f>
        <v>302033700.01000005</v>
      </c>
      <c r="S76">
        <f>'Formato 6 a)'!E84</f>
        <v>0</v>
      </c>
      <c r="T76">
        <f>'Formato 6 a)'!F84</f>
        <v>179321233.94</v>
      </c>
      <c r="U76">
        <f>'Formato 6 a)'!G84</f>
        <v>302033700.01000005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35758326.949999996</v>
      </c>
      <c r="Q77">
        <f>'Formato 6 a)'!C85</f>
        <v>2141708.4300000002</v>
      </c>
      <c r="R77">
        <f>'Formato 6 a)'!D85</f>
        <v>35740035.380000003</v>
      </c>
      <c r="S77">
        <f>'Formato 6 a)'!E85</f>
        <v>0</v>
      </c>
      <c r="T77">
        <f>'Formato 6 a)'!F85</f>
        <v>22517683.52</v>
      </c>
      <c r="U77">
        <f>'Formato 6 a)'!G85</f>
        <v>35740035.380000003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19412802.609999999</v>
      </c>
      <c r="Q78">
        <f>'Formato 6 a)'!C86</f>
        <v>2049361.13</v>
      </c>
      <c r="R78">
        <f>'Formato 6 a)'!D86</f>
        <v>19326858.34</v>
      </c>
      <c r="S78">
        <f>'Formato 6 a)'!E86</f>
        <v>0</v>
      </c>
      <c r="T78">
        <f>'Formato 6 a)'!F86</f>
        <v>13393612.6</v>
      </c>
      <c r="U78">
        <f>'Formato 6 a)'!G86</f>
        <v>19326858.34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2743147.76</v>
      </c>
      <c r="Q80">
        <f>'Formato 6 a)'!C88</f>
        <v>80000</v>
      </c>
      <c r="R80">
        <f>'Formato 6 a)'!D88</f>
        <v>2823147.76</v>
      </c>
      <c r="S80">
        <f>'Formato 6 a)'!E88</f>
        <v>0</v>
      </c>
      <c r="T80">
        <f>'Formato 6 a)'!F88</f>
        <v>659590.18999999994</v>
      </c>
      <c r="U80">
        <f>'Formato 6 a)'!G88</f>
        <v>2823147.76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6829208.2300000004</v>
      </c>
      <c r="Q81">
        <f>'Formato 6 a)'!C89</f>
        <v>0</v>
      </c>
      <c r="R81">
        <f>'Formato 6 a)'!D89</f>
        <v>6829208.2300000004</v>
      </c>
      <c r="S81">
        <f>'Formato 6 a)'!E89</f>
        <v>0</v>
      </c>
      <c r="T81">
        <f>'Formato 6 a)'!F89</f>
        <v>3745115.75</v>
      </c>
      <c r="U81">
        <f>'Formato 6 a)'!G89</f>
        <v>6829208.2300000004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4437172.53</v>
      </c>
      <c r="Q82">
        <f>'Formato 6 a)'!C90</f>
        <v>9059.6200000000008</v>
      </c>
      <c r="R82">
        <f>'Formato 6 a)'!D90</f>
        <v>4428112.91</v>
      </c>
      <c r="S82">
        <f>'Formato 6 a)'!E90</f>
        <v>0</v>
      </c>
      <c r="T82">
        <f>'Formato 6 a)'!F90</f>
        <v>3120439.27</v>
      </c>
      <c r="U82">
        <f>'Formato 6 a)'!G90</f>
        <v>4428112.91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2335995.8199999998</v>
      </c>
      <c r="Q84">
        <f>'Formato 6 a)'!C92</f>
        <v>3287.68</v>
      </c>
      <c r="R84">
        <f>'Formato 6 a)'!D92</f>
        <v>2332708.14</v>
      </c>
      <c r="S84">
        <f>'Formato 6 a)'!E92</f>
        <v>0</v>
      </c>
      <c r="T84">
        <f>'Formato 6 a)'!F92</f>
        <v>1598925.71</v>
      </c>
      <c r="U84">
        <f>'Formato 6 a)'!G92</f>
        <v>2332708.14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7228830.9199999999</v>
      </c>
      <c r="Q85">
        <f>'Formato 6 a)'!C93</f>
        <v>4109152</v>
      </c>
      <c r="R85">
        <f>'Formato 6 a)'!D93</f>
        <v>8834925.4399999995</v>
      </c>
      <c r="S85">
        <f>'Formato 6 a)'!E93</f>
        <v>0</v>
      </c>
      <c r="T85">
        <f>'Formato 6 a)'!F93</f>
        <v>6098965.1899999995</v>
      </c>
      <c r="U85">
        <f>'Formato 6 a)'!G93</f>
        <v>8834925.4399999995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235400</v>
      </c>
      <c r="Q86">
        <f>'Formato 6 a)'!C94</f>
        <v>5900</v>
      </c>
      <c r="R86">
        <f>'Formato 6 a)'!D94</f>
        <v>235500</v>
      </c>
      <c r="S86">
        <f>'Formato 6 a)'!E94</f>
        <v>0</v>
      </c>
      <c r="T86">
        <f>'Formato 6 a)'!F94</f>
        <v>177956.46</v>
      </c>
      <c r="U86">
        <f>'Formato 6 a)'!G94</f>
        <v>235500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246999.92</v>
      </c>
      <c r="Q87">
        <f>'Formato 6 a)'!C95</f>
        <v>55000</v>
      </c>
      <c r="R87">
        <f>'Formato 6 a)'!D95</f>
        <v>301999.92</v>
      </c>
      <c r="S87">
        <f>'Formato 6 a)'!E95</f>
        <v>0</v>
      </c>
      <c r="T87">
        <f>'Formato 6 a)'!F95</f>
        <v>226258.48</v>
      </c>
      <c r="U87">
        <f>'Formato 6 a)'!G95</f>
        <v>301999.92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120000</v>
      </c>
      <c r="Q88">
        <f>'Formato 6 a)'!C96</f>
        <v>120000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71400</v>
      </c>
      <c r="Q89">
        <f>'Formato 6 a)'!C97</f>
        <v>24464</v>
      </c>
      <c r="R89">
        <f>'Formato 6 a)'!D97</f>
        <v>46936</v>
      </c>
      <c r="S89">
        <f>'Formato 6 a)'!E97</f>
        <v>0</v>
      </c>
      <c r="T89">
        <f>'Formato 6 a)'!F97</f>
        <v>21965.48</v>
      </c>
      <c r="U89">
        <f>'Formato 6 a)'!G97</f>
        <v>46936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105000</v>
      </c>
      <c r="Q90">
        <f>'Formato 6 a)'!C98</f>
        <v>20400</v>
      </c>
      <c r="R90">
        <f>'Formato 6 a)'!D98</f>
        <v>101400</v>
      </c>
      <c r="S90">
        <f>'Formato 6 a)'!E98</f>
        <v>0</v>
      </c>
      <c r="T90">
        <f>'Formato 6 a)'!F98</f>
        <v>78024.61</v>
      </c>
      <c r="U90">
        <f>'Formato 6 a)'!G98</f>
        <v>101400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3934000</v>
      </c>
      <c r="Q91">
        <f>'Formato 6 a)'!C99</f>
        <v>1232889.52</v>
      </c>
      <c r="R91">
        <f>'Formato 6 a)'!D99</f>
        <v>5166889.5199999996</v>
      </c>
      <c r="S91">
        <f>'Formato 6 a)'!E99</f>
        <v>0</v>
      </c>
      <c r="T91">
        <f>'Formato 6 a)'!F99</f>
        <v>2876055.3</v>
      </c>
      <c r="U91">
        <f>'Formato 6 a)'!G99</f>
        <v>5166889.5199999996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1023404.72</v>
      </c>
      <c r="Q92">
        <f>'Formato 6 a)'!C100</f>
        <v>766695.28</v>
      </c>
      <c r="R92">
        <f>'Formato 6 a)'!D100</f>
        <v>1772700</v>
      </c>
      <c r="S92">
        <f>'Formato 6 a)'!E100</f>
        <v>0</v>
      </c>
      <c r="T92">
        <f>'Formato 6 a)'!F100</f>
        <v>1668535.39</v>
      </c>
      <c r="U92">
        <f>'Formato 6 a)'!G100</f>
        <v>1772700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804126.28</v>
      </c>
      <c r="Q93">
        <f>'Formato 6 a)'!C101</f>
        <v>1759803.2</v>
      </c>
      <c r="R93">
        <f>'Formato 6 a)'!D101</f>
        <v>600000</v>
      </c>
      <c r="S93">
        <f>'Formato 6 a)'!E101</f>
        <v>0</v>
      </c>
      <c r="T93">
        <f>'Formato 6 a)'!F101</f>
        <v>598792</v>
      </c>
      <c r="U93">
        <f>'Formato 6 a)'!G101</f>
        <v>600000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688500</v>
      </c>
      <c r="Q94">
        <f>'Formato 6 a)'!C102</f>
        <v>124000</v>
      </c>
      <c r="R94">
        <f>'Formato 6 a)'!D102</f>
        <v>609500</v>
      </c>
      <c r="S94">
        <f>'Formato 6 a)'!E102</f>
        <v>0</v>
      </c>
      <c r="T94">
        <f>'Formato 6 a)'!F102</f>
        <v>451377.47</v>
      </c>
      <c r="U94">
        <f>'Formato 6 a)'!G102</f>
        <v>609500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18260924.119999997</v>
      </c>
      <c r="Q95">
        <f>'Formato 6 a)'!C103</f>
        <v>4214209.3</v>
      </c>
      <c r="R95">
        <f>'Formato 6 a)'!D103</f>
        <v>18823659.379999999</v>
      </c>
      <c r="S95">
        <f>'Formato 6 a)'!E103</f>
        <v>0</v>
      </c>
      <c r="T95">
        <f>'Formato 6 a)'!F103</f>
        <v>9994456.6799999997</v>
      </c>
      <c r="U95">
        <f>'Formato 6 a)'!G103</f>
        <v>18823659.379999999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9979333.2799999993</v>
      </c>
      <c r="Q96">
        <f>'Formato 6 a)'!C104</f>
        <v>351965.74</v>
      </c>
      <c r="R96">
        <f>'Formato 6 a)'!D104</f>
        <v>9639367.6199999992</v>
      </c>
      <c r="S96">
        <f>'Formato 6 a)'!E104</f>
        <v>0</v>
      </c>
      <c r="T96">
        <f>'Formato 6 a)'!F104</f>
        <v>5609694.3399999999</v>
      </c>
      <c r="U96">
        <f>'Formato 6 a)'!G104</f>
        <v>9639367.6199999992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80500</v>
      </c>
      <c r="Q97">
        <f>'Formato 6 a)'!C105</f>
        <v>12000</v>
      </c>
      <c r="R97">
        <f>'Formato 6 a)'!D105</f>
        <v>68500</v>
      </c>
      <c r="S97">
        <f>'Formato 6 a)'!E105</f>
        <v>0</v>
      </c>
      <c r="T97">
        <f>'Formato 6 a)'!F105</f>
        <v>37133.74</v>
      </c>
      <c r="U97">
        <f>'Formato 6 a)'!G105</f>
        <v>68500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6709354.8399999999</v>
      </c>
      <c r="Q98">
        <f>'Formato 6 a)'!C106</f>
        <v>3238985.01</v>
      </c>
      <c r="R98">
        <f>'Formato 6 a)'!D106</f>
        <v>7090797.21</v>
      </c>
      <c r="S98">
        <f>'Formato 6 a)'!E106</f>
        <v>0</v>
      </c>
      <c r="T98">
        <f>'Formato 6 a)'!F106</f>
        <v>3149536.62</v>
      </c>
      <c r="U98">
        <f>'Formato 6 a)'!G106</f>
        <v>7090797.21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515000</v>
      </c>
      <c r="Q99">
        <f>'Formato 6 a)'!C107</f>
        <v>3089.05</v>
      </c>
      <c r="R99">
        <f>'Formato 6 a)'!D107</f>
        <v>518089.05</v>
      </c>
      <c r="S99">
        <f>'Formato 6 a)'!E107</f>
        <v>0</v>
      </c>
      <c r="T99">
        <f>'Formato 6 a)'!F107</f>
        <v>448839.76</v>
      </c>
      <c r="U99">
        <f>'Formato 6 a)'!G107</f>
        <v>518089.05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130500</v>
      </c>
      <c r="Q100">
        <f>'Formato 6 a)'!C108</f>
        <v>504732</v>
      </c>
      <c r="R100">
        <f>'Formato 6 a)'!D108</f>
        <v>557232</v>
      </c>
      <c r="S100">
        <f>'Formato 6 a)'!E108</f>
        <v>0</v>
      </c>
      <c r="T100">
        <f>'Formato 6 a)'!F108</f>
        <v>236702.59</v>
      </c>
      <c r="U100">
        <f>'Formato 6 a)'!G108</f>
        <v>557232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24000</v>
      </c>
      <c r="Q101">
        <f>'Formato 6 a)'!C109</f>
        <v>58437.5</v>
      </c>
      <c r="R101">
        <f>'Formato 6 a)'!D109</f>
        <v>82437.5</v>
      </c>
      <c r="S101">
        <f>'Formato 6 a)'!E109</f>
        <v>0</v>
      </c>
      <c r="T101">
        <f>'Formato 6 a)'!F109</f>
        <v>71083.08</v>
      </c>
      <c r="U101">
        <f>'Formato 6 a)'!G109</f>
        <v>82437.5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80500</v>
      </c>
      <c r="Q102">
        <f>'Formato 6 a)'!C110</f>
        <v>0</v>
      </c>
      <c r="R102">
        <f>'Formato 6 a)'!D110</f>
        <v>80500</v>
      </c>
      <c r="S102">
        <f>'Formato 6 a)'!E110</f>
        <v>0</v>
      </c>
      <c r="T102">
        <f>'Formato 6 a)'!F110</f>
        <v>47411.5</v>
      </c>
      <c r="U102">
        <f>'Formato 6 a)'!G110</f>
        <v>80500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741736</v>
      </c>
      <c r="Q104">
        <f>'Formato 6 a)'!C112</f>
        <v>45000</v>
      </c>
      <c r="R104">
        <f>'Formato 6 a)'!D112</f>
        <v>786736</v>
      </c>
      <c r="S104">
        <f>'Formato 6 a)'!E112</f>
        <v>0</v>
      </c>
      <c r="T104">
        <f>'Formato 6 a)'!F112</f>
        <v>394055.05</v>
      </c>
      <c r="U104">
        <f>'Formato 6 a)'!G112</f>
        <v>786736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38070919.350000001</v>
      </c>
      <c r="Q105">
        <f>'Formato 6 a)'!C113</f>
        <v>14040197.789999999</v>
      </c>
      <c r="R105">
        <f>'Formato 6 a)'!D113</f>
        <v>44817002.259999998</v>
      </c>
      <c r="S105">
        <f>'Formato 6 a)'!E113</f>
        <v>0</v>
      </c>
      <c r="T105">
        <f>'Formato 6 a)'!F113</f>
        <v>25090623.09</v>
      </c>
      <c r="U105">
        <f>'Formato 6 a)'!G113</f>
        <v>44817002.259999998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2634012.7200000002</v>
      </c>
      <c r="Q106">
        <f>'Formato 6 a)'!C114</f>
        <v>381000</v>
      </c>
      <c r="R106">
        <f>'Formato 6 a)'!D114</f>
        <v>3015012.72</v>
      </c>
      <c r="S106">
        <f>'Formato 6 a)'!E114</f>
        <v>0</v>
      </c>
      <c r="T106">
        <f>'Formato 6 a)'!F114</f>
        <v>1975509.54</v>
      </c>
      <c r="U106">
        <f>'Formato 6 a)'!G114</f>
        <v>3015012.72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4440000</v>
      </c>
      <c r="Q108">
        <f>'Formato 6 a)'!C116</f>
        <v>2427201.17</v>
      </c>
      <c r="R108">
        <f>'Formato 6 a)'!D116</f>
        <v>4467201.17</v>
      </c>
      <c r="S108">
        <f>'Formato 6 a)'!E116</f>
        <v>0</v>
      </c>
      <c r="T108">
        <f>'Formato 6 a)'!F116</f>
        <v>3383494.26</v>
      </c>
      <c r="U108">
        <f>'Formato 6 a)'!G116</f>
        <v>4467201.17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30696906.629999999</v>
      </c>
      <c r="Q109">
        <f>'Formato 6 a)'!C117</f>
        <v>11231996.619999999</v>
      </c>
      <c r="R109">
        <f>'Formato 6 a)'!D117</f>
        <v>37034788.369999997</v>
      </c>
      <c r="S109">
        <f>'Formato 6 a)'!E117</f>
        <v>0</v>
      </c>
      <c r="T109">
        <f>'Formato 6 a)'!F117</f>
        <v>19515785.879999999</v>
      </c>
      <c r="U109">
        <f>'Formato 6 a)'!G117</f>
        <v>37034788.369999997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300000</v>
      </c>
      <c r="Q113">
        <f>'Formato 6 a)'!C121</f>
        <v>0</v>
      </c>
      <c r="R113">
        <f>'Formato 6 a)'!D121</f>
        <v>300000</v>
      </c>
      <c r="S113">
        <f>'Formato 6 a)'!E121</f>
        <v>0</v>
      </c>
      <c r="T113">
        <f>'Formato 6 a)'!F121</f>
        <v>215833.41</v>
      </c>
      <c r="U113">
        <f>'Formato 6 a)'!G121</f>
        <v>300000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4923069</v>
      </c>
      <c r="Q115">
        <f>'Formato 6 a)'!C123</f>
        <v>8771491.1999999993</v>
      </c>
      <c r="R115">
        <f>'Formato 6 a)'!D123</f>
        <v>9844422.1999999993</v>
      </c>
      <c r="S115">
        <f>'Formato 6 a)'!E123</f>
        <v>0</v>
      </c>
      <c r="T115">
        <f>'Formato 6 a)'!F123</f>
        <v>6201588.2000000002</v>
      </c>
      <c r="U115">
        <f>'Formato 6 a)'!G123</f>
        <v>9844422.1999999993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872284.8</v>
      </c>
      <c r="Q116">
        <f>'Formato 6 a)'!C124</f>
        <v>693284.8</v>
      </c>
      <c r="R116">
        <f>'Formato 6 a)'!D124</f>
        <v>191000</v>
      </c>
      <c r="S116">
        <f>'Formato 6 a)'!E124</f>
        <v>0</v>
      </c>
      <c r="T116">
        <f>'Formato 6 a)'!F124</f>
        <v>165353.20000000001</v>
      </c>
      <c r="U116">
        <f>'Formato 6 a)'!G124</f>
        <v>191000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252601</v>
      </c>
      <c r="Q117">
        <f>'Formato 6 a)'!C125</f>
        <v>278101</v>
      </c>
      <c r="R117">
        <f>'Formato 6 a)'!D125</f>
        <v>37500</v>
      </c>
      <c r="S117">
        <f>'Formato 6 a)'!E125</f>
        <v>0</v>
      </c>
      <c r="T117">
        <f>'Formato 6 a)'!F125</f>
        <v>31320</v>
      </c>
      <c r="U117">
        <f>'Formato 6 a)'!G125</f>
        <v>37500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5000</v>
      </c>
      <c r="Q118">
        <f>'Formato 6 a)'!C126</f>
        <v>0</v>
      </c>
      <c r="R118">
        <f>'Formato 6 a)'!D126</f>
        <v>5000</v>
      </c>
      <c r="S118">
        <f>'Formato 6 a)'!E126</f>
        <v>0</v>
      </c>
      <c r="T118">
        <f>'Formato 6 a)'!F126</f>
        <v>4800</v>
      </c>
      <c r="U118">
        <f>'Formato 6 a)'!G126</f>
        <v>5000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3460000</v>
      </c>
      <c r="Q119">
        <f>'Formato 6 a)'!C127</f>
        <v>4030247.96</v>
      </c>
      <c r="R119">
        <f>'Formato 6 a)'!D127</f>
        <v>7490247.96</v>
      </c>
      <c r="S119">
        <f>'Formato 6 a)'!E127</f>
        <v>0</v>
      </c>
      <c r="T119">
        <f>'Formato 6 a)'!F127</f>
        <v>5849400</v>
      </c>
      <c r="U119">
        <f>'Formato 6 a)'!G127</f>
        <v>7490247.96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1600000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332000</v>
      </c>
      <c r="Q121">
        <f>'Formato 6 a)'!C129</f>
        <v>840835.78</v>
      </c>
      <c r="R121">
        <f>'Formato 6 a)'!D129</f>
        <v>792835.78</v>
      </c>
      <c r="S121">
        <f>'Formato 6 a)'!E129</f>
        <v>0</v>
      </c>
      <c r="T121">
        <f>'Formato 6 a)'!F129</f>
        <v>150715</v>
      </c>
      <c r="U121">
        <f>'Formato 6 a)'!G129</f>
        <v>792835.78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1327838.46</v>
      </c>
      <c r="R123">
        <f>'Formato 6 a)'!D131</f>
        <v>1327838.46</v>
      </c>
      <c r="S123">
        <f>'Formato 6 a)'!E131</f>
        <v>0</v>
      </c>
      <c r="T123">
        <f>'Formato 6 a)'!F131</f>
        <v>0</v>
      </c>
      <c r="U123">
        <f>'Formato 6 a)'!G131</f>
        <v>1327838.46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1183.2</v>
      </c>
      <c r="Q124">
        <f>'Formato 6 a)'!C132</f>
        <v>1183.2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83075375.739999995</v>
      </c>
      <c r="Q125">
        <f>'Formato 6 a)'!C133</f>
        <v>111480077.98</v>
      </c>
      <c r="R125">
        <f>'Formato 6 a)'!D133</f>
        <v>170131299</v>
      </c>
      <c r="S125">
        <f>'Formato 6 a)'!E133</f>
        <v>0</v>
      </c>
      <c r="T125">
        <f>'Formato 6 a)'!F133</f>
        <v>96409329.319999993</v>
      </c>
      <c r="U125">
        <f>'Formato 6 a)'!G133</f>
        <v>170131299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83075375.739999995</v>
      </c>
      <c r="Q126">
        <f>'Formato 6 a)'!C134</f>
        <v>108663808.2</v>
      </c>
      <c r="R126">
        <f>'Formato 6 a)'!D134</f>
        <v>167626697.16</v>
      </c>
      <c r="S126">
        <f>'Formato 6 a)'!E134</f>
        <v>0</v>
      </c>
      <c r="T126">
        <f>'Formato 6 a)'!F134</f>
        <v>94584570.579999998</v>
      </c>
      <c r="U126">
        <f>'Formato 6 a)'!G134</f>
        <v>167626697.16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2816269.7800000003</v>
      </c>
      <c r="R127">
        <f>'Formato 6 a)'!D135</f>
        <v>2504601.84</v>
      </c>
      <c r="S127">
        <f>'Formato 6 a)'!E135</f>
        <v>0</v>
      </c>
      <c r="T127">
        <f>'Formato 6 a)'!F135</f>
        <v>1824758.74</v>
      </c>
      <c r="U127">
        <f>'Formato 6 a)'!G135</f>
        <v>2504601.84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15500000</v>
      </c>
      <c r="Q138">
        <f>'Formato 6 a)'!C146</f>
        <v>18042356.350000001</v>
      </c>
      <c r="R138">
        <f>'Formato 6 a)'!D146</f>
        <v>13842356.35</v>
      </c>
      <c r="S138">
        <f>'Formato 6 a)'!E146</f>
        <v>0</v>
      </c>
      <c r="T138">
        <f>'Formato 6 a)'!F146</f>
        <v>13008587.939999999</v>
      </c>
      <c r="U138">
        <f>'Formato 6 a)'!G146</f>
        <v>13842356.35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15500000</v>
      </c>
      <c r="Q141">
        <f>'Formato 6 a)'!C149</f>
        <v>18042356.350000001</v>
      </c>
      <c r="R141">
        <f>'Formato 6 a)'!D149</f>
        <v>13842356.35</v>
      </c>
      <c r="S141">
        <f>'Formato 6 a)'!E149</f>
        <v>0</v>
      </c>
      <c r="T141">
        <f>'Formato 6 a)'!F149</f>
        <v>13008587.939999999</v>
      </c>
      <c r="U141">
        <f>'Formato 6 a)'!G149</f>
        <v>13842356.35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368848399.24000001</v>
      </c>
      <c r="Q150">
        <f>'Formato 6 a)'!C159</f>
        <v>218748414.21999997</v>
      </c>
      <c r="R150">
        <f>'Formato 6 a)'!D159</f>
        <v>524013874.34000003</v>
      </c>
      <c r="S150">
        <f>'Formato 6 a)'!E159</f>
        <v>7213</v>
      </c>
      <c r="T150">
        <f>'Formato 6 a)'!F159</f>
        <v>297146137.31999999</v>
      </c>
      <c r="U150">
        <f>'Formato 6 a)'!G159</f>
        <v>524006661.34000003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view="pageBreakPreview" zoomScale="60" zoomScaleNormal="90" workbookViewId="0">
      <selection activeCell="B20" sqref="B20:F20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81" t="s">
        <v>3290</v>
      </c>
      <c r="B1" s="181"/>
      <c r="C1" s="181"/>
      <c r="D1" s="181"/>
      <c r="E1" s="181"/>
      <c r="F1" s="181"/>
      <c r="G1" s="181"/>
    </row>
    <row r="2" spans="1:7" x14ac:dyDescent="0.25">
      <c r="A2" s="162" t="str">
        <f>ENTE_PUBLICO_A</f>
        <v>Municipio de San Felipe, Gobierno del Estado de Guanajuato (a)</v>
      </c>
      <c r="B2" s="163"/>
      <c r="C2" s="163"/>
      <c r="D2" s="163"/>
      <c r="E2" s="163"/>
      <c r="F2" s="163"/>
      <c r="G2" s="164"/>
    </row>
    <row r="3" spans="1:7" x14ac:dyDescent="0.25">
      <c r="A3" s="165" t="s">
        <v>277</v>
      </c>
      <c r="B3" s="166"/>
      <c r="C3" s="166"/>
      <c r="D3" s="166"/>
      <c r="E3" s="166"/>
      <c r="F3" s="166"/>
      <c r="G3" s="167"/>
    </row>
    <row r="4" spans="1:7" x14ac:dyDescent="0.25">
      <c r="A4" s="165" t="s">
        <v>431</v>
      </c>
      <c r="B4" s="166"/>
      <c r="C4" s="166"/>
      <c r="D4" s="166"/>
      <c r="E4" s="166"/>
      <c r="F4" s="166"/>
      <c r="G4" s="167"/>
    </row>
    <row r="5" spans="1:7" x14ac:dyDescent="0.25">
      <c r="A5" s="168" t="str">
        <f>TRIMESTRE</f>
        <v>Del 1 de enero al 30 de septiembre de 2018 (b)</v>
      </c>
      <c r="B5" s="169"/>
      <c r="C5" s="169"/>
      <c r="D5" s="169"/>
      <c r="E5" s="169"/>
      <c r="F5" s="169"/>
      <c r="G5" s="170"/>
    </row>
    <row r="6" spans="1:7" x14ac:dyDescent="0.25">
      <c r="A6" s="171" t="s">
        <v>118</v>
      </c>
      <c r="B6" s="172"/>
      <c r="C6" s="172"/>
      <c r="D6" s="172"/>
      <c r="E6" s="172"/>
      <c r="F6" s="172"/>
      <c r="G6" s="173"/>
    </row>
    <row r="7" spans="1:7" x14ac:dyDescent="0.25">
      <c r="A7" s="177" t="s">
        <v>0</v>
      </c>
      <c r="B7" s="179" t="s">
        <v>279</v>
      </c>
      <c r="C7" s="179"/>
      <c r="D7" s="179"/>
      <c r="E7" s="179"/>
      <c r="F7" s="179"/>
      <c r="G7" s="183" t="s">
        <v>280</v>
      </c>
    </row>
    <row r="8" spans="1:7" ht="30" x14ac:dyDescent="0.25">
      <c r="A8" s="178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2"/>
    </row>
    <row r="9" spans="1:7" x14ac:dyDescent="0.25">
      <c r="A9" s="52" t="s">
        <v>440</v>
      </c>
      <c r="B9" s="59">
        <f>SUM(B10:GASTO_NE_FIN_01)</f>
        <v>166030953.16</v>
      </c>
      <c r="C9" s="59">
        <f>SUM(C10:GASTO_NE_FIN_02)</f>
        <v>55949221.170000002</v>
      </c>
      <c r="D9" s="59">
        <f>SUM(D10:GASTO_NE_FIN_03)</f>
        <v>221980174.32999998</v>
      </c>
      <c r="E9" s="59">
        <f>SUM(E10:GASTO_NE_FIN_04)</f>
        <v>117832116.38</v>
      </c>
      <c r="F9" s="59">
        <f>SUM(F10:GASTO_NE_FIN_05)</f>
        <v>117824903.38</v>
      </c>
      <c r="G9" s="59">
        <f>SUM(G10:GASTO_NE_FIN_06)</f>
        <v>104148057.95</v>
      </c>
    </row>
    <row r="10" spans="1:7" s="24" customFormat="1" x14ac:dyDescent="0.25">
      <c r="A10" s="144" t="s">
        <v>432</v>
      </c>
      <c r="B10" s="150">
        <v>166030953.16</v>
      </c>
      <c r="C10" s="60">
        <v>0</v>
      </c>
      <c r="D10" s="150">
        <v>166030953.16</v>
      </c>
      <c r="E10" s="150">
        <v>117832116.38</v>
      </c>
      <c r="F10" s="150">
        <v>117824903.38</v>
      </c>
      <c r="G10" s="77">
        <f>D10-E10</f>
        <v>48198836.780000001</v>
      </c>
    </row>
    <row r="11" spans="1:7" s="24" customFormat="1" x14ac:dyDescent="0.25">
      <c r="A11" s="144" t="s">
        <v>433</v>
      </c>
      <c r="B11" s="60">
        <v>0</v>
      </c>
      <c r="C11" s="150">
        <v>55949221.170000002</v>
      </c>
      <c r="D11" s="150">
        <v>55949221.170000002</v>
      </c>
      <c r="E11" s="60">
        <v>0</v>
      </c>
      <c r="F11" s="60">
        <v>0</v>
      </c>
      <c r="G11" s="77">
        <f t="shared" ref="G11:G17" si="0">D11-E11</f>
        <v>55949221.170000002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x14ac:dyDescent="0.25">
      <c r="A14" s="144" t="s">
        <v>436</v>
      </c>
      <c r="B14" s="60"/>
      <c r="C14" s="60"/>
      <c r="D14" s="60">
        <v>0</v>
      </c>
      <c r="E14" s="60"/>
      <c r="F14" s="60"/>
      <c r="G14" s="77">
        <f t="shared" si="0"/>
        <v>0</v>
      </c>
    </row>
    <row r="15" spans="1:7" s="24" customFormat="1" x14ac:dyDescent="0.25">
      <c r="A15" s="144" t="s">
        <v>437</v>
      </c>
      <c r="B15" s="60"/>
      <c r="C15" s="60"/>
      <c r="D15" s="60">
        <v>0</v>
      </c>
      <c r="E15" s="60"/>
      <c r="F15" s="60"/>
      <c r="G15" s="77">
        <f t="shared" si="0"/>
        <v>0</v>
      </c>
    </row>
    <row r="16" spans="1:7" s="24" customFormat="1" x14ac:dyDescent="0.25">
      <c r="A16" s="144" t="s">
        <v>438</v>
      </c>
      <c r="B16" s="60"/>
      <c r="C16" s="60"/>
      <c r="D16" s="60">
        <v>0</v>
      </c>
      <c r="E16" s="60"/>
      <c r="F16" s="60"/>
      <c r="G16" s="77">
        <f t="shared" si="0"/>
        <v>0</v>
      </c>
    </row>
    <row r="17" spans="1:7" s="24" customFormat="1" x14ac:dyDescent="0.25">
      <c r="A17" s="144" t="s">
        <v>439</v>
      </c>
      <c r="B17" s="60"/>
      <c r="C17" s="60"/>
      <c r="D17" s="60">
        <v>0</v>
      </c>
      <c r="E17" s="60"/>
      <c r="F17" s="60"/>
      <c r="G17" s="77">
        <f t="shared" si="0"/>
        <v>0</v>
      </c>
    </row>
    <row r="18" spans="1:7" x14ac:dyDescent="0.2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x14ac:dyDescent="0.25">
      <c r="A19" s="55" t="s">
        <v>441</v>
      </c>
      <c r="B19" s="61">
        <f>SUM(B20:GASTO_E_FIN_01)</f>
        <v>202817446.08000001</v>
      </c>
      <c r="C19" s="61">
        <f>SUM(C20:GASTO_E_FIN_02)</f>
        <v>99216253.930000007</v>
      </c>
      <c r="D19" s="61">
        <f>SUM(D20:GASTO_E_FIN_03)</f>
        <v>302033700.00999999</v>
      </c>
      <c r="E19" s="61">
        <f>SUM(E20:GASTO_E_FIN_04)</f>
        <v>179321233.94</v>
      </c>
      <c r="F19" s="61">
        <f>SUM(F20:GASTO_E_FIN_05)</f>
        <v>5325394.0199999996</v>
      </c>
      <c r="G19" s="61">
        <f>SUM(G20:GASTO_E_FIN_06)</f>
        <v>122712466.06999999</v>
      </c>
    </row>
    <row r="20" spans="1:7" s="24" customFormat="1" x14ac:dyDescent="0.25">
      <c r="A20" s="144" t="s">
        <v>432</v>
      </c>
      <c r="B20" s="150">
        <v>202817446.08000001</v>
      </c>
      <c r="C20" s="150">
        <v>99216253.930000007</v>
      </c>
      <c r="D20" s="150">
        <v>302033700.00999999</v>
      </c>
      <c r="E20" s="150">
        <v>179321233.94</v>
      </c>
      <c r="F20" s="150">
        <v>5325394.0199999996</v>
      </c>
      <c r="G20" s="60">
        <f>D20-E20</f>
        <v>122712466.06999999</v>
      </c>
    </row>
    <row r="21" spans="1:7" s="24" customFormat="1" x14ac:dyDescent="0.25">
      <c r="A21" s="144" t="s">
        <v>433</v>
      </c>
      <c r="B21" s="60"/>
      <c r="C21" s="150"/>
      <c r="D21" s="60">
        <v>0</v>
      </c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>
        <v>0</v>
      </c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>
        <v>0</v>
      </c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>
        <v>0</v>
      </c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>
        <v>0</v>
      </c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>
        <v>0</v>
      </c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>
        <v>0</v>
      </c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368848399.24000001</v>
      </c>
      <c r="C29" s="61">
        <f>GASTO_NE_T2+GASTO_E_T2</f>
        <v>155165475.10000002</v>
      </c>
      <c r="D29" s="61">
        <f>GASTO_NE_T3+GASTO_E_T3</f>
        <v>524013874.33999997</v>
      </c>
      <c r="E29" s="61">
        <f>GASTO_NE_T4+GASTO_E_T4</f>
        <v>297153350.31999999</v>
      </c>
      <c r="F29" s="61">
        <f>GASTO_NE_T5+GASTO_E_T5</f>
        <v>123150297.39999999</v>
      </c>
      <c r="G29" s="61">
        <f>GASTO_NE_T6+GASTO_E_T6</f>
        <v>226860524.01999998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idden="1" x14ac:dyDescent="0.2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166030953.16</v>
      </c>
      <c r="Q2" s="18">
        <f>GASTO_NE_T2</f>
        <v>55949221.170000002</v>
      </c>
      <c r="R2" s="18">
        <f>GASTO_NE_T3</f>
        <v>221980174.32999998</v>
      </c>
      <c r="S2" s="18">
        <f>GASTO_NE_T4</f>
        <v>117832116.38</v>
      </c>
      <c r="T2" s="18">
        <f>GASTO_NE_T5</f>
        <v>117824903.38</v>
      </c>
      <c r="U2" s="18">
        <f>GASTO_NE_T6</f>
        <v>104148057.95</v>
      </c>
    </row>
    <row r="3" spans="1:25" x14ac:dyDescent="0.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202817446.08000001</v>
      </c>
      <c r="Q3" s="18">
        <f>GASTO_E_T2</f>
        <v>99216253.930000007</v>
      </c>
      <c r="R3" s="18">
        <f>GASTO_E_T3</f>
        <v>302033700.00999999</v>
      </c>
      <c r="S3" s="18">
        <f>GASTO_E_T4</f>
        <v>179321233.94</v>
      </c>
      <c r="T3" s="18">
        <f>GASTO_E_T5</f>
        <v>5325394.0199999996</v>
      </c>
      <c r="U3" s="18">
        <f>GASTO_E_T6</f>
        <v>122712466.06999999</v>
      </c>
      <c r="V3" s="18"/>
    </row>
    <row r="4" spans="1:25" x14ac:dyDescent="0.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368848399.24000001</v>
      </c>
      <c r="Q4" s="18">
        <f>TOTAL_E_T2</f>
        <v>155165475.10000002</v>
      </c>
      <c r="R4" s="18">
        <f>TOTAL_E_T3</f>
        <v>524013874.33999997</v>
      </c>
      <c r="S4" s="18">
        <f>TOTAL_E_T4</f>
        <v>297153350.31999999</v>
      </c>
      <c r="T4" s="18">
        <f>TOTAL_E_T5</f>
        <v>123150297.39999999</v>
      </c>
      <c r="U4" s="18">
        <f>TOTAL_E_T6</f>
        <v>226860524.01999998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XFC78"/>
  <sheetViews>
    <sheetView showGridLines="0" view="pageBreakPreview" topLeftCell="A52" zoomScale="60" zoomScaleNormal="90" workbookViewId="0">
      <selection activeCell="D71" sqref="D71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7" t="s">
        <v>3289</v>
      </c>
      <c r="B1" s="188"/>
      <c r="C1" s="188"/>
      <c r="D1" s="188"/>
      <c r="E1" s="188"/>
      <c r="F1" s="188"/>
      <c r="G1" s="188"/>
    </row>
    <row r="2" spans="1:7" x14ac:dyDescent="0.25">
      <c r="A2" s="162" t="str">
        <f>ENTE_PUBLICO_A</f>
        <v>Municipio de San Felipe, Gobierno del Estado de Guanajuato (a)</v>
      </c>
      <c r="B2" s="163"/>
      <c r="C2" s="163"/>
      <c r="D2" s="163"/>
      <c r="E2" s="163"/>
      <c r="F2" s="163"/>
      <c r="G2" s="164"/>
    </row>
    <row r="3" spans="1:7" x14ac:dyDescent="0.25">
      <c r="A3" s="165" t="s">
        <v>396</v>
      </c>
      <c r="B3" s="166"/>
      <c r="C3" s="166"/>
      <c r="D3" s="166"/>
      <c r="E3" s="166"/>
      <c r="F3" s="166"/>
      <c r="G3" s="167"/>
    </row>
    <row r="4" spans="1:7" x14ac:dyDescent="0.25">
      <c r="A4" s="165" t="s">
        <v>397</v>
      </c>
      <c r="B4" s="166"/>
      <c r="C4" s="166"/>
      <c r="D4" s="166"/>
      <c r="E4" s="166"/>
      <c r="F4" s="166"/>
      <c r="G4" s="167"/>
    </row>
    <row r="5" spans="1:7" x14ac:dyDescent="0.25">
      <c r="A5" s="168" t="str">
        <f>TRIMESTRE</f>
        <v>Del 1 de enero al 30 de septiembre de 2018 (b)</v>
      </c>
      <c r="B5" s="169"/>
      <c r="C5" s="169"/>
      <c r="D5" s="169"/>
      <c r="E5" s="169"/>
      <c r="F5" s="169"/>
      <c r="G5" s="170"/>
    </row>
    <row r="6" spans="1:7" x14ac:dyDescent="0.25">
      <c r="A6" s="171" t="s">
        <v>118</v>
      </c>
      <c r="B6" s="172"/>
      <c r="C6" s="172"/>
      <c r="D6" s="172"/>
      <c r="E6" s="172"/>
      <c r="F6" s="172"/>
      <c r="G6" s="173"/>
    </row>
    <row r="7" spans="1:7" x14ac:dyDescent="0.25">
      <c r="A7" s="166" t="s">
        <v>0</v>
      </c>
      <c r="B7" s="171" t="s">
        <v>279</v>
      </c>
      <c r="C7" s="172"/>
      <c r="D7" s="172"/>
      <c r="E7" s="172"/>
      <c r="F7" s="173"/>
      <c r="G7" s="183" t="s">
        <v>3286</v>
      </c>
    </row>
    <row r="8" spans="1:7" ht="30.75" customHeight="1" x14ac:dyDescent="0.25">
      <c r="A8" s="166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2"/>
    </row>
    <row r="9" spans="1:7" x14ac:dyDescent="0.25">
      <c r="A9" s="52" t="s">
        <v>363</v>
      </c>
      <c r="B9" s="70">
        <f t="shared" ref="B9:G9" si="0">SUM(B10,B19,B27,B37)</f>
        <v>166030953.16</v>
      </c>
      <c r="C9" s="70">
        <f t="shared" si="0"/>
        <v>55949221.170000002</v>
      </c>
      <c r="D9" s="70">
        <f t="shared" si="0"/>
        <v>221980174.32999998</v>
      </c>
      <c r="E9" s="70">
        <f t="shared" si="0"/>
        <v>117832116.38</v>
      </c>
      <c r="F9" s="70">
        <f t="shared" si="0"/>
        <v>117824903.38</v>
      </c>
      <c r="G9" s="70">
        <f t="shared" si="0"/>
        <v>119860873.76999998</v>
      </c>
    </row>
    <row r="10" spans="1:7" x14ac:dyDescent="0.25">
      <c r="A10" s="53" t="s">
        <v>364</v>
      </c>
      <c r="B10" s="71">
        <f t="shared" ref="B10:G10" si="1">SUM(B11:B18)</f>
        <v>69800645.530000001</v>
      </c>
      <c r="C10" s="71">
        <f t="shared" si="1"/>
        <v>10997316.02</v>
      </c>
      <c r="D10" s="71">
        <f t="shared" si="1"/>
        <v>80797961.549999997</v>
      </c>
      <c r="E10" s="71">
        <f t="shared" si="1"/>
        <v>46603167.910000004</v>
      </c>
      <c r="F10" s="71">
        <f t="shared" si="1"/>
        <v>46603167.910000004</v>
      </c>
      <c r="G10" s="71">
        <f t="shared" si="1"/>
        <v>49907609.459999993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</row>
    <row r="12" spans="1:7" x14ac:dyDescent="0.25">
      <c r="A12" s="63" t="s">
        <v>366</v>
      </c>
      <c r="B12" s="152">
        <v>464638.69</v>
      </c>
      <c r="C12" s="72">
        <v>0</v>
      </c>
      <c r="D12" s="152">
        <v>464638.69</v>
      </c>
      <c r="E12" s="152">
        <v>271087.39</v>
      </c>
      <c r="F12" s="152">
        <v>271087.39</v>
      </c>
      <c r="G12" s="152">
        <v>278180.03000000003</v>
      </c>
    </row>
    <row r="13" spans="1:7" x14ac:dyDescent="0.25">
      <c r="A13" s="63" t="s">
        <v>367</v>
      </c>
      <c r="B13" s="152">
        <v>33442221.800000001</v>
      </c>
      <c r="C13" s="152">
        <v>4094867.44</v>
      </c>
      <c r="D13" s="152">
        <v>37537089.240000002</v>
      </c>
      <c r="E13" s="152">
        <v>23842798.940000001</v>
      </c>
      <c r="F13" s="152">
        <v>23842798.940000001</v>
      </c>
      <c r="G13" s="152">
        <v>20448063.420000002</v>
      </c>
    </row>
    <row r="14" spans="1:7" x14ac:dyDescent="0.25">
      <c r="A14" s="63" t="s">
        <v>368</v>
      </c>
      <c r="B14" s="72"/>
      <c r="C14" s="72"/>
      <c r="D14" s="72">
        <v>0</v>
      </c>
      <c r="E14" s="72"/>
      <c r="F14" s="72"/>
      <c r="G14" s="72">
        <v>0</v>
      </c>
    </row>
    <row r="15" spans="1:7" x14ac:dyDescent="0.25">
      <c r="A15" s="63" t="s">
        <v>369</v>
      </c>
      <c r="B15" s="152">
        <v>18254874.93</v>
      </c>
      <c r="C15" s="152">
        <v>3046926.21</v>
      </c>
      <c r="D15" s="152">
        <v>21301801.140000001</v>
      </c>
      <c r="E15" s="152">
        <v>14554856.33</v>
      </c>
      <c r="F15" s="152">
        <v>14554856.33</v>
      </c>
      <c r="G15" s="152">
        <v>12917749.119999999</v>
      </c>
    </row>
    <row r="16" spans="1:7" x14ac:dyDescent="0.25">
      <c r="A16" s="63" t="s">
        <v>370</v>
      </c>
      <c r="B16" s="72"/>
      <c r="C16" s="72"/>
      <c r="D16" s="72">
        <v>0</v>
      </c>
      <c r="E16" s="72"/>
      <c r="F16" s="72"/>
      <c r="G16" s="72">
        <v>0</v>
      </c>
    </row>
    <row r="17" spans="1:7" x14ac:dyDescent="0.25">
      <c r="A17" s="63" t="s">
        <v>371</v>
      </c>
      <c r="B17" s="72">
        <v>0</v>
      </c>
      <c r="C17" s="152">
        <v>3247733.25</v>
      </c>
      <c r="D17" s="152">
        <v>3247733.25</v>
      </c>
      <c r="E17" s="152">
        <v>23500.45</v>
      </c>
      <c r="F17" s="152">
        <v>23500.45</v>
      </c>
      <c r="G17" s="152">
        <v>3224232.8</v>
      </c>
    </row>
    <row r="18" spans="1:7" x14ac:dyDescent="0.25">
      <c r="A18" s="63" t="s">
        <v>372</v>
      </c>
      <c r="B18" s="152">
        <v>17638910.109999999</v>
      </c>
      <c r="C18" s="152">
        <v>607789.12</v>
      </c>
      <c r="D18" s="152">
        <v>18246699.23</v>
      </c>
      <c r="E18" s="152">
        <v>7910924.7999999998</v>
      </c>
      <c r="F18" s="152">
        <v>7910924.7999999998</v>
      </c>
      <c r="G18" s="152">
        <v>13039384.09</v>
      </c>
    </row>
    <row r="19" spans="1:7" x14ac:dyDescent="0.25">
      <c r="A19" s="53" t="s">
        <v>373</v>
      </c>
      <c r="B19" s="71">
        <f t="shared" ref="B19:G19" si="2">SUM(B20:B26)</f>
        <v>89904043.849999994</v>
      </c>
      <c r="C19" s="71">
        <f t="shared" si="2"/>
        <v>44504029.230000004</v>
      </c>
      <c r="D19" s="71">
        <f t="shared" si="2"/>
        <v>134408073.07999998</v>
      </c>
      <c r="E19" s="71">
        <f t="shared" si="2"/>
        <v>67112454.340000004</v>
      </c>
      <c r="F19" s="71">
        <f t="shared" si="2"/>
        <v>67105241.340000004</v>
      </c>
      <c r="G19" s="71">
        <f t="shared" si="2"/>
        <v>67295618.739999995</v>
      </c>
    </row>
    <row r="20" spans="1:7" x14ac:dyDescent="0.25">
      <c r="A20" s="63" t="s">
        <v>374</v>
      </c>
      <c r="B20" s="153">
        <v>11764262.529999999</v>
      </c>
      <c r="C20" s="153">
        <v>187059.9</v>
      </c>
      <c r="D20" s="153">
        <v>11951322.43</v>
      </c>
      <c r="E20" s="153">
        <v>7385734.2599999998</v>
      </c>
      <c r="F20" s="153">
        <v>7385734.2599999998</v>
      </c>
      <c r="G20" s="72">
        <f>D20-E20</f>
        <v>4565588.17</v>
      </c>
    </row>
    <row r="21" spans="1:7" x14ac:dyDescent="0.25">
      <c r="A21" s="63" t="s">
        <v>375</v>
      </c>
      <c r="B21" s="153">
        <v>65479651.07</v>
      </c>
      <c r="C21" s="153">
        <v>43532681.630000003</v>
      </c>
      <c r="D21" s="153">
        <v>109012332.7</v>
      </c>
      <c r="E21" s="153">
        <v>51563335.25</v>
      </c>
      <c r="F21" s="153">
        <v>51563335.25</v>
      </c>
      <c r="G21" s="72">
        <f t="shared" ref="G21:G26" si="3">D21-E21</f>
        <v>57448997.450000003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3"/>
        <v>0</v>
      </c>
    </row>
    <row r="23" spans="1:7" x14ac:dyDescent="0.25">
      <c r="A23" s="63" t="s">
        <v>377</v>
      </c>
      <c r="B23" s="153">
        <v>8860318.1600000001</v>
      </c>
      <c r="C23" s="153">
        <v>587437.69999999995</v>
      </c>
      <c r="D23" s="153">
        <v>9447755.8599999994</v>
      </c>
      <c r="E23" s="153">
        <v>5591612.5599999996</v>
      </c>
      <c r="F23" s="153">
        <v>5584399.5599999996</v>
      </c>
      <c r="G23" s="72">
        <f t="shared" si="3"/>
        <v>3856143.3</v>
      </c>
    </row>
    <row r="24" spans="1:7" x14ac:dyDescent="0.25">
      <c r="A24" s="63" t="s">
        <v>378</v>
      </c>
      <c r="B24" s="153">
        <v>3799812.09</v>
      </c>
      <c r="C24" s="153">
        <v>196850</v>
      </c>
      <c r="D24" s="153">
        <v>3996662.09</v>
      </c>
      <c r="E24" s="153">
        <v>2571772.27</v>
      </c>
      <c r="F24" s="153">
        <v>2571772.27</v>
      </c>
      <c r="G24" s="72">
        <f t="shared" si="3"/>
        <v>1424889.8199999998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3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3"/>
        <v>0</v>
      </c>
    </row>
    <row r="27" spans="1:7" x14ac:dyDescent="0.25">
      <c r="A27" s="53" t="s">
        <v>381</v>
      </c>
      <c r="B27" s="71">
        <f t="shared" ref="B27:G27" si="4">SUM(B28:B36)</f>
        <v>6326263.7800000003</v>
      </c>
      <c r="C27" s="71">
        <f t="shared" si="4"/>
        <v>447875.92</v>
      </c>
      <c r="D27" s="71">
        <f t="shared" si="4"/>
        <v>6774139.7000000002</v>
      </c>
      <c r="E27" s="71">
        <f t="shared" si="4"/>
        <v>4116494.13</v>
      </c>
      <c r="F27" s="71">
        <f t="shared" si="4"/>
        <v>4116494.13</v>
      </c>
      <c r="G27" s="71">
        <f t="shared" si="4"/>
        <v>2657645.5700000003</v>
      </c>
    </row>
    <row r="28" spans="1:7" x14ac:dyDescent="0.25">
      <c r="A28" s="69" t="s">
        <v>382</v>
      </c>
      <c r="B28" s="153">
        <v>6326263.7800000003</v>
      </c>
      <c r="C28" s="153">
        <v>447875.92</v>
      </c>
      <c r="D28" s="153">
        <v>6774139.7000000002</v>
      </c>
      <c r="E28" s="153">
        <v>4116494.13</v>
      </c>
      <c r="F28" s="153">
        <v>4116494.13</v>
      </c>
      <c r="G28" s="72">
        <f>D28-E28</f>
        <v>2657645.5700000003</v>
      </c>
    </row>
    <row r="29" spans="1:7" x14ac:dyDescent="0.25">
      <c r="A29" s="63" t="s">
        <v>383</v>
      </c>
      <c r="B29" s="71"/>
      <c r="C29" s="71"/>
      <c r="D29" s="71">
        <v>0</v>
      </c>
      <c r="E29" s="71"/>
      <c r="F29" s="71"/>
      <c r="G29" s="72">
        <f t="shared" ref="G29:G36" si="5">D29-E29</f>
        <v>0</v>
      </c>
    </row>
    <row r="30" spans="1:7" x14ac:dyDescent="0.25">
      <c r="A30" s="63" t="s">
        <v>384</v>
      </c>
      <c r="B30" s="71"/>
      <c r="C30" s="71"/>
      <c r="D30" s="71">
        <v>0</v>
      </c>
      <c r="E30" s="71"/>
      <c r="F30" s="71"/>
      <c r="G30" s="72">
        <f t="shared" si="5"/>
        <v>0</v>
      </c>
    </row>
    <row r="31" spans="1:7" x14ac:dyDescent="0.25">
      <c r="A31" s="63" t="s">
        <v>385</v>
      </c>
      <c r="B31" s="71"/>
      <c r="C31" s="71"/>
      <c r="D31" s="71">
        <v>0</v>
      </c>
      <c r="E31" s="71"/>
      <c r="F31" s="71"/>
      <c r="G31" s="72">
        <f t="shared" si="5"/>
        <v>0</v>
      </c>
    </row>
    <row r="32" spans="1:7" x14ac:dyDescent="0.25">
      <c r="A32" s="63" t="s">
        <v>386</v>
      </c>
      <c r="B32" s="71"/>
      <c r="C32" s="71"/>
      <c r="D32" s="71">
        <v>0</v>
      </c>
      <c r="E32" s="71"/>
      <c r="F32" s="71"/>
      <c r="G32" s="72">
        <f t="shared" si="5"/>
        <v>0</v>
      </c>
    </row>
    <row r="33" spans="1:7" x14ac:dyDescent="0.25">
      <c r="A33" s="63" t="s">
        <v>387</v>
      </c>
      <c r="B33" s="71"/>
      <c r="C33" s="71"/>
      <c r="D33" s="71">
        <v>0</v>
      </c>
      <c r="E33" s="71"/>
      <c r="F33" s="71"/>
      <c r="G33" s="72">
        <f t="shared" si="5"/>
        <v>0</v>
      </c>
    </row>
    <row r="34" spans="1:7" x14ac:dyDescent="0.25">
      <c r="A34" s="63" t="s">
        <v>388</v>
      </c>
      <c r="B34" s="71"/>
      <c r="C34" s="71"/>
      <c r="D34" s="71">
        <v>0</v>
      </c>
      <c r="E34" s="71"/>
      <c r="F34" s="71"/>
      <c r="G34" s="72">
        <f t="shared" si="5"/>
        <v>0</v>
      </c>
    </row>
    <row r="35" spans="1:7" x14ac:dyDescent="0.25">
      <c r="A35" s="63" t="s">
        <v>389</v>
      </c>
      <c r="B35" s="71"/>
      <c r="C35" s="71"/>
      <c r="D35" s="71">
        <v>0</v>
      </c>
      <c r="E35" s="71"/>
      <c r="F35" s="71"/>
      <c r="G35" s="72">
        <f t="shared" si="5"/>
        <v>0</v>
      </c>
    </row>
    <row r="36" spans="1:7" x14ac:dyDescent="0.25">
      <c r="A36" s="63" t="s">
        <v>390</v>
      </c>
      <c r="B36" s="71"/>
      <c r="C36" s="71"/>
      <c r="D36" s="71">
        <v>0</v>
      </c>
      <c r="E36" s="71"/>
      <c r="F36" s="71"/>
      <c r="G36" s="72">
        <f t="shared" si="5"/>
        <v>0</v>
      </c>
    </row>
    <row r="37" spans="1:7" ht="30" x14ac:dyDescent="0.25">
      <c r="A37" s="64" t="s">
        <v>398</v>
      </c>
      <c r="B37" s="71">
        <f t="shared" ref="B37:G37" si="6">SUM(B38:B41)</f>
        <v>0</v>
      </c>
      <c r="C37" s="71">
        <f t="shared" si="6"/>
        <v>0</v>
      </c>
      <c r="D37" s="71">
        <f t="shared" si="6"/>
        <v>0</v>
      </c>
      <c r="E37" s="71">
        <f t="shared" si="6"/>
        <v>0</v>
      </c>
      <c r="F37" s="71">
        <f t="shared" si="6"/>
        <v>0</v>
      </c>
      <c r="G37" s="71">
        <f t="shared" si="6"/>
        <v>0</v>
      </c>
    </row>
    <row r="38" spans="1:7" x14ac:dyDescent="0.25">
      <c r="A38" s="69" t="s">
        <v>391</v>
      </c>
      <c r="B38" s="71"/>
      <c r="C38" s="71"/>
      <c r="D38" s="71">
        <v>0</v>
      </c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>
        <v>0</v>
      </c>
      <c r="E39" s="72"/>
      <c r="F39" s="72"/>
      <c r="G39" s="72">
        <f>D39-E39</f>
        <v>0</v>
      </c>
    </row>
    <row r="40" spans="1:7" x14ac:dyDescent="0.25">
      <c r="A40" s="69" t="s">
        <v>393</v>
      </c>
      <c r="B40" s="72"/>
      <c r="C40" s="72"/>
      <c r="D40" s="72">
        <v>0</v>
      </c>
      <c r="E40" s="72"/>
      <c r="F40" s="72"/>
      <c r="G40" s="72">
        <f>D40-E40</f>
        <v>0</v>
      </c>
    </row>
    <row r="41" spans="1:7" x14ac:dyDescent="0.25">
      <c r="A41" s="69" t="s">
        <v>394</v>
      </c>
      <c r="B41" s="72"/>
      <c r="C41" s="72"/>
      <c r="D41" s="72">
        <v>0</v>
      </c>
      <c r="E41" s="72"/>
      <c r="F41" s="72"/>
      <c r="G41" s="72">
        <f>D41-E41</f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7">SUM(B44,B53,B61,B71)</f>
        <v>202817446.07999998</v>
      </c>
      <c r="C43" s="73">
        <f t="shared" si="7"/>
        <v>99216253.929999992</v>
      </c>
      <c r="D43" s="73">
        <f t="shared" si="7"/>
        <v>302033700.00999999</v>
      </c>
      <c r="E43" s="73">
        <f t="shared" si="7"/>
        <v>179321233.94</v>
      </c>
      <c r="F43" s="73">
        <f t="shared" si="7"/>
        <v>179321233.94</v>
      </c>
      <c r="G43" s="73">
        <f t="shared" si="7"/>
        <v>122712466.07000002</v>
      </c>
    </row>
    <row r="44" spans="1:7" x14ac:dyDescent="0.25">
      <c r="A44" s="53" t="s">
        <v>430</v>
      </c>
      <c r="B44" s="72">
        <f t="shared" ref="B44:G44" si="8">SUM(B45:B52)</f>
        <v>57487975.549999997</v>
      </c>
      <c r="C44" s="72">
        <f t="shared" si="8"/>
        <v>5320084.72</v>
      </c>
      <c r="D44" s="72">
        <f t="shared" si="8"/>
        <v>62808060.270000003</v>
      </c>
      <c r="E44" s="72">
        <f t="shared" si="8"/>
        <v>41309079.339999996</v>
      </c>
      <c r="F44" s="72">
        <f t="shared" si="8"/>
        <v>41309079.339999996</v>
      </c>
      <c r="G44" s="72">
        <f t="shared" si="8"/>
        <v>21498980.93</v>
      </c>
    </row>
    <row r="45" spans="1:7" x14ac:dyDescent="0.25">
      <c r="A45" s="69" t="s">
        <v>365</v>
      </c>
      <c r="B45" s="72"/>
      <c r="C45" s="72"/>
      <c r="D45" s="72">
        <v>0</v>
      </c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>
        <v>0</v>
      </c>
      <c r="E46" s="72"/>
      <c r="F46" s="72"/>
      <c r="G46" s="72">
        <f t="shared" ref="G46:G52" si="9">D46-E46</f>
        <v>0</v>
      </c>
    </row>
    <row r="47" spans="1:7" x14ac:dyDescent="0.25">
      <c r="A47" s="69" t="s">
        <v>367</v>
      </c>
      <c r="B47" s="152">
        <v>2934012.72</v>
      </c>
      <c r="C47" s="152">
        <v>3941727.98</v>
      </c>
      <c r="D47" s="152">
        <v>6875740.7000000002</v>
      </c>
      <c r="E47" s="152">
        <v>3368742.95</v>
      </c>
      <c r="F47" s="152">
        <v>3368742.95</v>
      </c>
      <c r="G47" s="72">
        <f t="shared" si="9"/>
        <v>3506997.75</v>
      </c>
    </row>
    <row r="48" spans="1:7" x14ac:dyDescent="0.25">
      <c r="A48" s="69" t="s">
        <v>368</v>
      </c>
      <c r="B48" s="72"/>
      <c r="C48" s="72"/>
      <c r="D48" s="72">
        <v>0</v>
      </c>
      <c r="E48" s="72"/>
      <c r="F48" s="72"/>
      <c r="G48" s="72">
        <f t="shared" si="9"/>
        <v>0</v>
      </c>
    </row>
    <row r="49" spans="1:7" x14ac:dyDescent="0.25">
      <c r="A49" s="69" t="s">
        <v>369</v>
      </c>
      <c r="B49" s="72">
        <v>0</v>
      </c>
      <c r="C49" s="152">
        <v>72250</v>
      </c>
      <c r="D49" s="152">
        <v>72250</v>
      </c>
      <c r="E49" s="152">
        <v>1258.5999999999999</v>
      </c>
      <c r="F49" s="152">
        <v>1258.5999999999999</v>
      </c>
      <c r="G49" s="72">
        <f t="shared" si="9"/>
        <v>70991.399999999994</v>
      </c>
    </row>
    <row r="50" spans="1:7" x14ac:dyDescent="0.25">
      <c r="A50" s="69" t="s">
        <v>370</v>
      </c>
      <c r="B50" s="72"/>
      <c r="C50" s="72"/>
      <c r="D50" s="72">
        <v>0</v>
      </c>
      <c r="E50" s="72"/>
      <c r="F50" s="72"/>
      <c r="G50" s="72">
        <f t="shared" si="9"/>
        <v>0</v>
      </c>
    </row>
    <row r="51" spans="1:7" x14ac:dyDescent="0.25">
      <c r="A51" s="69" t="s">
        <v>371</v>
      </c>
      <c r="B51" s="152">
        <v>54553962.829999998</v>
      </c>
      <c r="C51" s="152">
        <v>1306106.74</v>
      </c>
      <c r="D51" s="152">
        <v>55860069.57</v>
      </c>
      <c r="E51" s="152">
        <v>37939077.789999999</v>
      </c>
      <c r="F51" s="152">
        <v>37939077.789999999</v>
      </c>
      <c r="G51" s="72">
        <f t="shared" si="9"/>
        <v>17920991.780000001</v>
      </c>
    </row>
    <row r="52" spans="1:7" x14ac:dyDescent="0.25">
      <c r="A52" s="69" t="s">
        <v>372</v>
      </c>
      <c r="B52" s="72"/>
      <c r="C52" s="72"/>
      <c r="D52" s="72">
        <v>0</v>
      </c>
      <c r="E52" s="72"/>
      <c r="F52" s="72"/>
      <c r="G52" s="72">
        <f t="shared" si="9"/>
        <v>0</v>
      </c>
    </row>
    <row r="53" spans="1:7" x14ac:dyDescent="0.25">
      <c r="A53" s="53" t="s">
        <v>373</v>
      </c>
      <c r="B53" s="71">
        <f t="shared" ref="B53:G53" si="10">SUM(B54:B60)</f>
        <v>145329470.53</v>
      </c>
      <c r="C53" s="71">
        <f t="shared" si="10"/>
        <v>93896169.209999993</v>
      </c>
      <c r="D53" s="71">
        <f t="shared" si="10"/>
        <v>239225639.74000001</v>
      </c>
      <c r="E53" s="71">
        <f t="shared" si="10"/>
        <v>138012154.59999999</v>
      </c>
      <c r="F53" s="71">
        <f t="shared" si="10"/>
        <v>138012154.59999999</v>
      </c>
      <c r="G53" s="71">
        <f t="shared" si="10"/>
        <v>101213485.14000002</v>
      </c>
    </row>
    <row r="54" spans="1:7" x14ac:dyDescent="0.25">
      <c r="A54" s="69" t="s">
        <v>374</v>
      </c>
      <c r="B54" s="71">
        <v>0</v>
      </c>
      <c r="C54" s="153">
        <v>180000</v>
      </c>
      <c r="D54" s="153">
        <v>180000</v>
      </c>
      <c r="E54" s="71">
        <v>0</v>
      </c>
      <c r="F54" s="71">
        <v>0</v>
      </c>
      <c r="G54" s="72">
        <f>D54-E54</f>
        <v>180000</v>
      </c>
    </row>
    <row r="55" spans="1:7" x14ac:dyDescent="0.25">
      <c r="A55" s="69" t="s">
        <v>375</v>
      </c>
      <c r="B55" s="153">
        <v>144185870.53</v>
      </c>
      <c r="C55" s="153">
        <v>93713769.209999993</v>
      </c>
      <c r="D55" s="153">
        <v>237899639.74000001</v>
      </c>
      <c r="E55" s="153">
        <v>136868554.59999999</v>
      </c>
      <c r="F55" s="153">
        <v>136868554.59999999</v>
      </c>
      <c r="G55" s="72">
        <f t="shared" ref="G55:G60" si="11">D55-E55</f>
        <v>101031085.14000002</v>
      </c>
    </row>
    <row r="56" spans="1:7" x14ac:dyDescent="0.25">
      <c r="A56" s="69" t="s">
        <v>376</v>
      </c>
      <c r="B56" s="71"/>
      <c r="C56" s="71"/>
      <c r="D56" s="71">
        <v>0</v>
      </c>
      <c r="E56" s="71"/>
      <c r="F56" s="71"/>
      <c r="G56" s="72">
        <f t="shared" si="11"/>
        <v>0</v>
      </c>
    </row>
    <row r="57" spans="1:7" x14ac:dyDescent="0.25">
      <c r="A57" s="48" t="s">
        <v>377</v>
      </c>
      <c r="B57" s="71"/>
      <c r="C57" s="71"/>
      <c r="D57" s="71">
        <v>0</v>
      </c>
      <c r="E57" s="71"/>
      <c r="F57" s="71"/>
      <c r="G57" s="72">
        <f t="shared" si="11"/>
        <v>0</v>
      </c>
    </row>
    <row r="58" spans="1:7" x14ac:dyDescent="0.25">
      <c r="A58" s="69" t="s">
        <v>378</v>
      </c>
      <c r="B58" s="153">
        <v>1143600</v>
      </c>
      <c r="C58" s="153">
        <v>2400</v>
      </c>
      <c r="D58" s="153">
        <v>1146000</v>
      </c>
      <c r="E58" s="153">
        <v>1143600</v>
      </c>
      <c r="F58" s="153">
        <v>1143600</v>
      </c>
      <c r="G58" s="72">
        <f t="shared" si="11"/>
        <v>2400</v>
      </c>
    </row>
    <row r="59" spans="1:7" x14ac:dyDescent="0.25">
      <c r="A59" s="69" t="s">
        <v>379</v>
      </c>
      <c r="B59" s="71"/>
      <c r="C59" s="71"/>
      <c r="D59" s="71">
        <v>0</v>
      </c>
      <c r="E59" s="71"/>
      <c r="F59" s="71"/>
      <c r="G59" s="72">
        <f t="shared" si="11"/>
        <v>0</v>
      </c>
    </row>
    <row r="60" spans="1:7" x14ac:dyDescent="0.25">
      <c r="A60" s="69" t="s">
        <v>380</v>
      </c>
      <c r="B60" s="71"/>
      <c r="C60" s="71"/>
      <c r="D60" s="71">
        <v>0</v>
      </c>
      <c r="E60" s="71"/>
      <c r="F60" s="71"/>
      <c r="G60" s="72">
        <f t="shared" si="11"/>
        <v>0</v>
      </c>
    </row>
    <row r="61" spans="1:7" x14ac:dyDescent="0.25">
      <c r="A61" s="53" t="s">
        <v>381</v>
      </c>
      <c r="B61" s="71">
        <f t="shared" ref="B61:G61" si="12">SUM(B62:B70)</f>
        <v>0</v>
      </c>
      <c r="C61" s="71">
        <f t="shared" si="12"/>
        <v>0</v>
      </c>
      <c r="D61" s="71">
        <f t="shared" si="12"/>
        <v>0</v>
      </c>
      <c r="E61" s="71">
        <f t="shared" si="12"/>
        <v>0</v>
      </c>
      <c r="F61" s="71">
        <f t="shared" si="12"/>
        <v>0</v>
      </c>
      <c r="G61" s="71">
        <f t="shared" si="12"/>
        <v>0</v>
      </c>
    </row>
    <row r="62" spans="1:7" x14ac:dyDescent="0.25">
      <c r="A62" s="69" t="s">
        <v>382</v>
      </c>
      <c r="B62" s="71"/>
      <c r="C62" s="71"/>
      <c r="D62" s="71">
        <v>0</v>
      </c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>
        <v>0</v>
      </c>
      <c r="E63" s="71"/>
      <c r="F63" s="71"/>
      <c r="G63" s="72">
        <f t="shared" ref="G63:G70" si="13">D63-E63</f>
        <v>0</v>
      </c>
    </row>
    <row r="64" spans="1:7" x14ac:dyDescent="0.25">
      <c r="A64" s="69" t="s">
        <v>384</v>
      </c>
      <c r="B64" s="71"/>
      <c r="C64" s="71"/>
      <c r="D64" s="71">
        <v>0</v>
      </c>
      <c r="E64" s="71"/>
      <c r="F64" s="71"/>
      <c r="G64" s="72">
        <f t="shared" si="13"/>
        <v>0</v>
      </c>
    </row>
    <row r="65" spans="1:8" x14ac:dyDescent="0.25">
      <c r="A65" s="69" t="s">
        <v>385</v>
      </c>
      <c r="B65" s="71"/>
      <c r="C65" s="71"/>
      <c r="D65" s="71">
        <v>0</v>
      </c>
      <c r="E65" s="71"/>
      <c r="F65" s="71"/>
      <c r="G65" s="72">
        <f t="shared" si="13"/>
        <v>0</v>
      </c>
    </row>
    <row r="66" spans="1:8" x14ac:dyDescent="0.25">
      <c r="A66" s="69" t="s">
        <v>386</v>
      </c>
      <c r="B66" s="71"/>
      <c r="C66" s="71"/>
      <c r="D66" s="71">
        <v>0</v>
      </c>
      <c r="E66" s="71"/>
      <c r="F66" s="71"/>
      <c r="G66" s="72">
        <f t="shared" si="13"/>
        <v>0</v>
      </c>
    </row>
    <row r="67" spans="1:8" x14ac:dyDescent="0.25">
      <c r="A67" s="69" t="s">
        <v>387</v>
      </c>
      <c r="B67" s="71"/>
      <c r="C67" s="71"/>
      <c r="D67" s="71">
        <v>0</v>
      </c>
      <c r="E67" s="71"/>
      <c r="F67" s="71"/>
      <c r="G67" s="72">
        <f t="shared" si="13"/>
        <v>0</v>
      </c>
    </row>
    <row r="68" spans="1:8" x14ac:dyDescent="0.25">
      <c r="A68" s="69" t="s">
        <v>388</v>
      </c>
      <c r="B68" s="71"/>
      <c r="C68" s="71"/>
      <c r="D68" s="71">
        <v>0</v>
      </c>
      <c r="E68" s="71"/>
      <c r="F68" s="71"/>
      <c r="G68" s="72">
        <f t="shared" si="13"/>
        <v>0</v>
      </c>
    </row>
    <row r="69" spans="1:8" x14ac:dyDescent="0.25">
      <c r="A69" s="69" t="s">
        <v>389</v>
      </c>
      <c r="B69" s="71"/>
      <c r="C69" s="71"/>
      <c r="D69" s="71">
        <v>0</v>
      </c>
      <c r="E69" s="71"/>
      <c r="F69" s="71"/>
      <c r="G69" s="72">
        <f t="shared" si="13"/>
        <v>0</v>
      </c>
    </row>
    <row r="70" spans="1:8" x14ac:dyDescent="0.25">
      <c r="A70" s="69" t="s">
        <v>390</v>
      </c>
      <c r="B70" s="71"/>
      <c r="C70" s="71"/>
      <c r="D70" s="71">
        <v>0</v>
      </c>
      <c r="E70" s="71"/>
      <c r="F70" s="71"/>
      <c r="G70" s="72">
        <f t="shared" si="13"/>
        <v>0</v>
      </c>
    </row>
    <row r="71" spans="1:8" x14ac:dyDescent="0.25">
      <c r="A71" s="64" t="s">
        <v>3299</v>
      </c>
      <c r="B71" s="74">
        <f t="shared" ref="B71:G71" si="14">SUM(B72:B75)</f>
        <v>0</v>
      </c>
      <c r="C71" s="74">
        <f t="shared" si="14"/>
        <v>0</v>
      </c>
      <c r="D71" s="74">
        <f t="shared" si="14"/>
        <v>0</v>
      </c>
      <c r="E71" s="74">
        <f t="shared" si="14"/>
        <v>0</v>
      </c>
      <c r="F71" s="74">
        <f t="shared" si="14"/>
        <v>0</v>
      </c>
      <c r="G71" s="74">
        <f t="shared" si="14"/>
        <v>0</v>
      </c>
    </row>
    <row r="72" spans="1:8" x14ac:dyDescent="0.25">
      <c r="A72" s="69" t="s">
        <v>391</v>
      </c>
      <c r="B72" s="71"/>
      <c r="C72" s="71"/>
      <c r="D72" s="71">
        <v>0</v>
      </c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>
        <v>0</v>
      </c>
      <c r="E73" s="71"/>
      <c r="F73" s="71"/>
      <c r="G73" s="72">
        <f>D73-E73</f>
        <v>0</v>
      </c>
    </row>
    <row r="74" spans="1:8" x14ac:dyDescent="0.25">
      <c r="A74" s="69" t="s">
        <v>393</v>
      </c>
      <c r="B74" s="71"/>
      <c r="C74" s="71"/>
      <c r="D74" s="71">
        <v>0</v>
      </c>
      <c r="E74" s="71"/>
      <c r="F74" s="71"/>
      <c r="G74" s="72">
        <f>D74-E74</f>
        <v>0</v>
      </c>
    </row>
    <row r="75" spans="1:8" x14ac:dyDescent="0.25">
      <c r="A75" s="69" t="s">
        <v>394</v>
      </c>
      <c r="B75" s="71"/>
      <c r="C75" s="71"/>
      <c r="D75" s="71">
        <v>0</v>
      </c>
      <c r="E75" s="71"/>
      <c r="F75" s="71"/>
      <c r="G75" s="72">
        <f>D75-E75</f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5">B43+B9</f>
        <v>368848399.24000001</v>
      </c>
      <c r="C77" s="73">
        <f t="shared" si="15"/>
        <v>155165475.09999999</v>
      </c>
      <c r="D77" s="73">
        <f t="shared" si="15"/>
        <v>524013874.33999997</v>
      </c>
      <c r="E77" s="73">
        <f t="shared" si="15"/>
        <v>297153350.31999999</v>
      </c>
      <c r="F77" s="73">
        <f t="shared" si="15"/>
        <v>297146137.31999999</v>
      </c>
      <c r="G77" s="73">
        <f t="shared" si="15"/>
        <v>242573339.84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25" right="0.25" top="0.41" bottom="0.75" header="0.3" footer="0.3"/>
  <pageSetup scale="52" fitToHeight="2"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166030953.16</v>
      </c>
      <c r="Q2" s="18">
        <f>'Formato 6 c)'!C9</f>
        <v>55949221.170000002</v>
      </c>
      <c r="R2" s="18">
        <f>'Formato 6 c)'!D9</f>
        <v>221980174.32999998</v>
      </c>
      <c r="S2" s="18">
        <f>'Formato 6 c)'!E9</f>
        <v>117832116.38</v>
      </c>
      <c r="T2" s="18">
        <f>'Formato 6 c)'!F9</f>
        <v>117824903.38</v>
      </c>
      <c r="U2" s="18">
        <f>'Formato 6 c)'!G9</f>
        <v>119860873.76999998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69800645.530000001</v>
      </c>
      <c r="Q3" s="18">
        <f>'Formato 6 c)'!C10</f>
        <v>10997316.02</v>
      </c>
      <c r="R3" s="18">
        <f>'Formato 6 c)'!D10</f>
        <v>80797961.549999997</v>
      </c>
      <c r="S3" s="18">
        <f>'Formato 6 c)'!E10</f>
        <v>46603167.910000004</v>
      </c>
      <c r="T3" s="18">
        <f>'Formato 6 c)'!F10</f>
        <v>46603167.910000004</v>
      </c>
      <c r="U3" s="18">
        <f>'Formato 6 c)'!G10</f>
        <v>49907609.459999993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464638.69</v>
      </c>
      <c r="Q5" s="18">
        <f>'Formato 6 c)'!C12</f>
        <v>0</v>
      </c>
      <c r="R5" s="18">
        <f>'Formato 6 c)'!D12</f>
        <v>464638.69</v>
      </c>
      <c r="S5" s="18">
        <f>'Formato 6 c)'!E12</f>
        <v>271087.39</v>
      </c>
      <c r="T5" s="18">
        <f>'Formato 6 c)'!F12</f>
        <v>271087.39</v>
      </c>
      <c r="U5" s="18">
        <f>'Formato 6 c)'!G12</f>
        <v>278180.03000000003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33442221.800000001</v>
      </c>
      <c r="Q6" s="18">
        <f>'Formato 6 c)'!C13</f>
        <v>4094867.44</v>
      </c>
      <c r="R6" s="18">
        <f>'Formato 6 c)'!D13</f>
        <v>37537089.240000002</v>
      </c>
      <c r="S6" s="18">
        <f>'Formato 6 c)'!E13</f>
        <v>23842798.940000001</v>
      </c>
      <c r="T6" s="18">
        <f>'Formato 6 c)'!F13</f>
        <v>23842798.940000001</v>
      </c>
      <c r="U6" s="18">
        <f>'Formato 6 c)'!G13</f>
        <v>20448063.420000002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18254874.93</v>
      </c>
      <c r="Q8" s="18">
        <f>'Formato 6 c)'!C15</f>
        <v>3046926.21</v>
      </c>
      <c r="R8" s="18">
        <f>'Formato 6 c)'!D15</f>
        <v>21301801.140000001</v>
      </c>
      <c r="S8" s="18">
        <f>'Formato 6 c)'!E15</f>
        <v>14554856.33</v>
      </c>
      <c r="T8" s="18">
        <f>'Formato 6 c)'!F15</f>
        <v>14554856.33</v>
      </c>
      <c r="U8" s="18">
        <f>'Formato 6 c)'!G15</f>
        <v>12917749.119999999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3247733.25</v>
      </c>
      <c r="R10" s="18">
        <f>'Formato 6 c)'!D17</f>
        <v>3247733.25</v>
      </c>
      <c r="S10" s="18">
        <f>'Formato 6 c)'!E17</f>
        <v>23500.45</v>
      </c>
      <c r="T10" s="18">
        <f>'Formato 6 c)'!F17</f>
        <v>23500.45</v>
      </c>
      <c r="U10" s="18">
        <f>'Formato 6 c)'!G17</f>
        <v>3224232.8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17638910.109999999</v>
      </c>
      <c r="Q11" s="18">
        <f>'Formato 6 c)'!C18</f>
        <v>607789.12</v>
      </c>
      <c r="R11" s="18">
        <f>'Formato 6 c)'!D18</f>
        <v>18246699.23</v>
      </c>
      <c r="S11" s="18">
        <f>'Formato 6 c)'!E18</f>
        <v>7910924.7999999998</v>
      </c>
      <c r="T11" s="18">
        <f>'Formato 6 c)'!F18</f>
        <v>7910924.7999999998</v>
      </c>
      <c r="U11" s="18">
        <f>'Formato 6 c)'!G18</f>
        <v>13039384.09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89904043.849999994</v>
      </c>
      <c r="Q12" s="18">
        <f>'Formato 6 c)'!C19</f>
        <v>44504029.230000004</v>
      </c>
      <c r="R12" s="18">
        <f>'Formato 6 c)'!D19</f>
        <v>134408073.07999998</v>
      </c>
      <c r="S12" s="18">
        <f>'Formato 6 c)'!E19</f>
        <v>67112454.340000004</v>
      </c>
      <c r="T12" s="18">
        <f>'Formato 6 c)'!F19</f>
        <v>67105241.340000004</v>
      </c>
      <c r="U12" s="18">
        <f>'Formato 6 c)'!G19</f>
        <v>67295618.739999995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11764262.529999999</v>
      </c>
      <c r="Q13" s="18">
        <f>'Formato 6 c)'!C20</f>
        <v>187059.9</v>
      </c>
      <c r="R13" s="18">
        <f>'Formato 6 c)'!D20</f>
        <v>11951322.43</v>
      </c>
      <c r="S13" s="18">
        <f>'Formato 6 c)'!E20</f>
        <v>7385734.2599999998</v>
      </c>
      <c r="T13" s="18">
        <f>'Formato 6 c)'!F20</f>
        <v>7385734.2599999998</v>
      </c>
      <c r="U13" s="18">
        <f>'Formato 6 c)'!G20</f>
        <v>4565588.17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65479651.07</v>
      </c>
      <c r="Q14" s="18">
        <f>'Formato 6 c)'!C21</f>
        <v>43532681.630000003</v>
      </c>
      <c r="R14" s="18">
        <f>'Formato 6 c)'!D21</f>
        <v>109012332.7</v>
      </c>
      <c r="S14" s="18">
        <f>'Formato 6 c)'!E21</f>
        <v>51563335.25</v>
      </c>
      <c r="T14" s="18">
        <f>'Formato 6 c)'!F21</f>
        <v>51563335.25</v>
      </c>
      <c r="U14" s="18">
        <f>'Formato 6 c)'!G21</f>
        <v>57448997.450000003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8860318.1600000001</v>
      </c>
      <c r="Q16" s="18">
        <f>'Formato 6 c)'!C23</f>
        <v>587437.69999999995</v>
      </c>
      <c r="R16" s="18">
        <f>'Formato 6 c)'!D23</f>
        <v>9447755.8599999994</v>
      </c>
      <c r="S16" s="18">
        <f>'Formato 6 c)'!E23</f>
        <v>5591612.5599999996</v>
      </c>
      <c r="T16" s="18">
        <f>'Formato 6 c)'!F23</f>
        <v>5584399.5599999996</v>
      </c>
      <c r="U16" s="18">
        <f>'Formato 6 c)'!G23</f>
        <v>3856143.3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3799812.09</v>
      </c>
      <c r="Q17" s="18">
        <f>'Formato 6 c)'!C24</f>
        <v>196850</v>
      </c>
      <c r="R17" s="18">
        <f>'Formato 6 c)'!D24</f>
        <v>3996662.09</v>
      </c>
      <c r="S17" s="18">
        <f>'Formato 6 c)'!E24</f>
        <v>2571772.27</v>
      </c>
      <c r="T17" s="18">
        <f>'Formato 6 c)'!F24</f>
        <v>2571772.27</v>
      </c>
      <c r="U17" s="18">
        <f>'Formato 6 c)'!G24</f>
        <v>1424889.8199999998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6326263.7800000003</v>
      </c>
      <c r="Q20" s="18">
        <f>'Formato 6 c)'!C27</f>
        <v>447875.92</v>
      </c>
      <c r="R20" s="18">
        <f>'Formato 6 c)'!D27</f>
        <v>6774139.7000000002</v>
      </c>
      <c r="S20" s="18">
        <f>'Formato 6 c)'!E27</f>
        <v>4116494.13</v>
      </c>
      <c r="T20" s="18">
        <f>'Formato 6 c)'!F27</f>
        <v>4116494.13</v>
      </c>
      <c r="U20" s="18">
        <f>'Formato 6 c)'!G27</f>
        <v>2657645.5700000003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6326263.7800000003</v>
      </c>
      <c r="Q21" s="18">
        <f>'Formato 6 c)'!C28</f>
        <v>447875.92</v>
      </c>
      <c r="R21" s="18">
        <f>'Formato 6 c)'!D28</f>
        <v>6774139.7000000002</v>
      </c>
      <c r="S21" s="18">
        <f>'Formato 6 c)'!E28</f>
        <v>4116494.13</v>
      </c>
      <c r="T21" s="18">
        <f>'Formato 6 c)'!F28</f>
        <v>4116494.13</v>
      </c>
      <c r="U21" s="18">
        <f>'Formato 6 c)'!G28</f>
        <v>2657645.5700000003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202817446.07999998</v>
      </c>
      <c r="Q35" s="18">
        <f>'Formato 6 c)'!C43</f>
        <v>99216253.929999992</v>
      </c>
      <c r="R35" s="18">
        <f>'Formato 6 c)'!D43</f>
        <v>302033700.00999999</v>
      </c>
      <c r="S35" s="18">
        <f>'Formato 6 c)'!E43</f>
        <v>179321233.94</v>
      </c>
      <c r="T35" s="18">
        <f>'Formato 6 c)'!F43</f>
        <v>179321233.94</v>
      </c>
      <c r="U35" s="18">
        <f>'Formato 6 c)'!G43</f>
        <v>122712466.07000002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57487975.549999997</v>
      </c>
      <c r="Q36" s="18">
        <f>'Formato 6 c)'!C44</f>
        <v>5320084.72</v>
      </c>
      <c r="R36" s="18">
        <f>'Formato 6 c)'!D44</f>
        <v>62808060.270000003</v>
      </c>
      <c r="S36" s="18">
        <f>'Formato 6 c)'!E44</f>
        <v>41309079.339999996</v>
      </c>
      <c r="T36" s="18">
        <f>'Formato 6 c)'!F44</f>
        <v>41309079.339999996</v>
      </c>
      <c r="U36" s="18">
        <f>'Formato 6 c)'!G44</f>
        <v>21498980.93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2934012.72</v>
      </c>
      <c r="Q39" s="18">
        <f>'Formato 6 c)'!C47</f>
        <v>3941727.98</v>
      </c>
      <c r="R39" s="18">
        <f>'Formato 6 c)'!D47</f>
        <v>6875740.7000000002</v>
      </c>
      <c r="S39" s="18">
        <f>'Formato 6 c)'!E47</f>
        <v>3368742.95</v>
      </c>
      <c r="T39" s="18">
        <f>'Formato 6 c)'!F47</f>
        <v>3368742.95</v>
      </c>
      <c r="U39" s="18">
        <f>'Formato 6 c)'!G47</f>
        <v>3506997.75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72250</v>
      </c>
      <c r="R41" s="18">
        <f>'Formato 6 c)'!D49</f>
        <v>72250</v>
      </c>
      <c r="S41" s="18">
        <f>'Formato 6 c)'!E49</f>
        <v>1258.5999999999999</v>
      </c>
      <c r="T41" s="18">
        <f>'Formato 6 c)'!F49</f>
        <v>1258.5999999999999</v>
      </c>
      <c r="U41" s="18">
        <f>'Formato 6 c)'!G49</f>
        <v>70991.399999999994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54553962.829999998</v>
      </c>
      <c r="Q43" s="18">
        <f>'Formato 6 c)'!C51</f>
        <v>1306106.74</v>
      </c>
      <c r="R43" s="18">
        <f>'Formato 6 c)'!D51</f>
        <v>55860069.57</v>
      </c>
      <c r="S43" s="18">
        <f>'Formato 6 c)'!E51</f>
        <v>37939077.789999999</v>
      </c>
      <c r="T43" s="18">
        <f>'Formato 6 c)'!F51</f>
        <v>37939077.789999999</v>
      </c>
      <c r="U43" s="18">
        <f>'Formato 6 c)'!G51</f>
        <v>17920991.780000001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145329470.53</v>
      </c>
      <c r="Q45" s="18">
        <f>'Formato 6 c)'!C53</f>
        <v>93896169.209999993</v>
      </c>
      <c r="R45" s="18">
        <f>'Formato 6 c)'!D53</f>
        <v>239225639.74000001</v>
      </c>
      <c r="S45" s="18">
        <f>'Formato 6 c)'!E53</f>
        <v>138012154.59999999</v>
      </c>
      <c r="T45" s="18">
        <f>'Formato 6 c)'!F53</f>
        <v>138012154.59999999</v>
      </c>
      <c r="U45" s="18">
        <f>'Formato 6 c)'!G53</f>
        <v>101213485.14000002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180000</v>
      </c>
      <c r="R46" s="18">
        <f>'Formato 6 c)'!D54</f>
        <v>180000</v>
      </c>
      <c r="S46" s="18">
        <f>'Formato 6 c)'!E54</f>
        <v>0</v>
      </c>
      <c r="T46" s="18">
        <f>'Formato 6 c)'!F54</f>
        <v>0</v>
      </c>
      <c r="U46" s="18">
        <f>'Formato 6 c)'!G54</f>
        <v>180000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144185870.53</v>
      </c>
      <c r="Q47" s="18">
        <f>'Formato 6 c)'!C55</f>
        <v>93713769.209999993</v>
      </c>
      <c r="R47" s="18">
        <f>'Formato 6 c)'!D55</f>
        <v>237899639.74000001</v>
      </c>
      <c r="S47" s="18">
        <f>'Formato 6 c)'!E55</f>
        <v>136868554.59999999</v>
      </c>
      <c r="T47" s="18">
        <f>'Formato 6 c)'!F55</f>
        <v>136868554.59999999</v>
      </c>
      <c r="U47" s="18">
        <f>'Formato 6 c)'!G55</f>
        <v>101031085.14000002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1143600</v>
      </c>
      <c r="Q50" s="18">
        <f>'Formato 6 c)'!C58</f>
        <v>2400</v>
      </c>
      <c r="R50" s="18">
        <f>'Formato 6 c)'!D58</f>
        <v>1146000</v>
      </c>
      <c r="S50" s="18">
        <f>'Formato 6 c)'!E58</f>
        <v>1143600</v>
      </c>
      <c r="T50" s="18">
        <f>'Formato 6 c)'!F58</f>
        <v>1143600</v>
      </c>
      <c r="U50" s="18">
        <f>'Formato 6 c)'!G58</f>
        <v>2400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368848399.24000001</v>
      </c>
      <c r="Q68" s="18">
        <f>'Formato 6 c)'!C77</f>
        <v>155165475.09999999</v>
      </c>
      <c r="R68" s="18">
        <f>'Formato 6 c)'!D77</f>
        <v>524013874.33999997</v>
      </c>
      <c r="S68" s="18">
        <f>'Formato 6 c)'!E77</f>
        <v>297153350.31999999</v>
      </c>
      <c r="T68" s="18">
        <f>'Formato 6 c)'!F77</f>
        <v>297146137.31999999</v>
      </c>
      <c r="U68" s="18">
        <f>'Formato 6 c)'!G77</f>
        <v>242573339.84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x14ac:dyDescent="0.25">
      <c r="C7" t="str">
        <f>CONCATENATE(ENTE_PUBLICO," (a)")</f>
        <v>Municipio de San Felipe, Gobierno del Estado de Guanajuato (a)</v>
      </c>
    </row>
    <row r="8" spans="2:3" ht="27" customHeight="1" x14ac:dyDescent="0.2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1156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2018</v>
      </c>
    </row>
    <row r="14" spans="2:3" x14ac:dyDescent="0.25">
      <c r="B14" t="s">
        <v>793</v>
      </c>
      <c r="C14" s="24" t="s">
        <v>3303</v>
      </c>
    </row>
    <row r="15" spans="2:3" x14ac:dyDescent="0.25">
      <c r="C15" s="24">
        <v>3</v>
      </c>
    </row>
    <row r="16" spans="2:3" x14ac:dyDescent="0.2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2018 (m = g – l)</v>
      </c>
    </row>
    <row r="20" spans="4:9" ht="60" x14ac:dyDescent="0.2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x14ac:dyDescent="0.2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x14ac:dyDescent="0.2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view="pageBreakPreview" zoomScale="60" zoomScaleNormal="70" workbookViewId="0">
      <selection activeCell="B22" sqref="B22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81" t="s">
        <v>3287</v>
      </c>
      <c r="B1" s="180"/>
      <c r="C1" s="180"/>
      <c r="D1" s="180"/>
      <c r="E1" s="180"/>
      <c r="F1" s="180"/>
      <c r="G1" s="180"/>
    </row>
    <row r="2" spans="1:7" x14ac:dyDescent="0.25">
      <c r="A2" s="162" t="str">
        <f>ENTE_PUBLICO_A</f>
        <v>Municipio de San Felipe, Gobierno del Estado de Guanajuato (a)</v>
      </c>
      <c r="B2" s="163"/>
      <c r="C2" s="163"/>
      <c r="D2" s="163"/>
      <c r="E2" s="163"/>
      <c r="F2" s="163"/>
      <c r="G2" s="164"/>
    </row>
    <row r="3" spans="1:7" x14ac:dyDescent="0.25">
      <c r="A3" s="168" t="s">
        <v>277</v>
      </c>
      <c r="B3" s="169"/>
      <c r="C3" s="169"/>
      <c r="D3" s="169"/>
      <c r="E3" s="169"/>
      <c r="F3" s="169"/>
      <c r="G3" s="170"/>
    </row>
    <row r="4" spans="1:7" x14ac:dyDescent="0.25">
      <c r="A4" s="168" t="s">
        <v>399</v>
      </c>
      <c r="B4" s="169"/>
      <c r="C4" s="169"/>
      <c r="D4" s="169"/>
      <c r="E4" s="169"/>
      <c r="F4" s="169"/>
      <c r="G4" s="170"/>
    </row>
    <row r="5" spans="1:7" x14ac:dyDescent="0.25">
      <c r="A5" s="168" t="str">
        <f>TRIMESTRE</f>
        <v>Del 1 de enero al 30 de septiembre de 2018 (b)</v>
      </c>
      <c r="B5" s="169"/>
      <c r="C5" s="169"/>
      <c r="D5" s="169"/>
      <c r="E5" s="169"/>
      <c r="F5" s="169"/>
      <c r="G5" s="170"/>
    </row>
    <row r="6" spans="1:7" x14ac:dyDescent="0.25">
      <c r="A6" s="171" t="s">
        <v>118</v>
      </c>
      <c r="B6" s="172"/>
      <c r="C6" s="172"/>
      <c r="D6" s="172"/>
      <c r="E6" s="172"/>
      <c r="F6" s="172"/>
      <c r="G6" s="173"/>
    </row>
    <row r="7" spans="1:7" x14ac:dyDescent="0.25">
      <c r="A7" s="177" t="s">
        <v>361</v>
      </c>
      <c r="B7" s="182" t="s">
        <v>279</v>
      </c>
      <c r="C7" s="182"/>
      <c r="D7" s="182"/>
      <c r="E7" s="182"/>
      <c r="F7" s="182"/>
      <c r="G7" s="182" t="s">
        <v>280</v>
      </c>
    </row>
    <row r="8" spans="1:7" ht="29.25" customHeight="1" x14ac:dyDescent="0.25">
      <c r="A8" s="178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9"/>
    </row>
    <row r="9" spans="1:7" x14ac:dyDescent="0.25">
      <c r="A9" s="52" t="s">
        <v>400</v>
      </c>
      <c r="B9" s="66">
        <f t="shared" ref="B9:G9" si="0">SUM(B10,B11,B12,B15,B16,B19)</f>
        <v>79696928.090000004</v>
      </c>
      <c r="C9" s="66">
        <f t="shared" si="0"/>
        <v>-30000</v>
      </c>
      <c r="D9" s="66">
        <f t="shared" si="0"/>
        <v>79666928.090000004</v>
      </c>
      <c r="E9" s="66">
        <f t="shared" si="0"/>
        <v>45751898.93</v>
      </c>
      <c r="F9" s="66">
        <f t="shared" si="0"/>
        <v>45751898.93</v>
      </c>
      <c r="G9" s="66">
        <f t="shared" si="0"/>
        <v>33915029.160000004</v>
      </c>
    </row>
    <row r="10" spans="1:7" x14ac:dyDescent="0.25">
      <c r="A10" s="53" t="s">
        <v>401</v>
      </c>
      <c r="B10" s="154">
        <v>79696928.090000004</v>
      </c>
      <c r="C10" s="154">
        <v>-30000</v>
      </c>
      <c r="D10" s="154">
        <v>79666928.090000004</v>
      </c>
      <c r="E10" s="154">
        <v>45751898.93</v>
      </c>
      <c r="F10" s="154">
        <v>45751898.93</v>
      </c>
      <c r="G10" s="67">
        <f>D10-E10</f>
        <v>33915029.160000004</v>
      </c>
    </row>
    <row r="11" spans="1:7" x14ac:dyDescent="0.25">
      <c r="A11" s="53" t="s">
        <v>402</v>
      </c>
      <c r="B11" s="67"/>
      <c r="C11" s="67"/>
      <c r="D11" s="67">
        <v>0</v>
      </c>
      <c r="E11" s="67"/>
      <c r="F11" s="67"/>
      <c r="G11" s="67">
        <f>D11-E11</f>
        <v>0</v>
      </c>
    </row>
    <row r="12" spans="1:7" x14ac:dyDescent="0.25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x14ac:dyDescent="0.25">
      <c r="A13" s="63" t="s">
        <v>404</v>
      </c>
      <c r="B13" s="67"/>
      <c r="C13" s="67"/>
      <c r="D13" s="67">
        <v>0</v>
      </c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>
        <v>0</v>
      </c>
      <c r="E14" s="67"/>
      <c r="F14" s="67"/>
      <c r="G14" s="67">
        <f>D14-E14</f>
        <v>0</v>
      </c>
    </row>
    <row r="15" spans="1:7" x14ac:dyDescent="0.25">
      <c r="A15" s="53" t="s">
        <v>406</v>
      </c>
      <c r="B15" s="67"/>
      <c r="C15" s="67"/>
      <c r="D15" s="67">
        <v>0</v>
      </c>
      <c r="E15" s="67"/>
      <c r="F15" s="67"/>
      <c r="G15" s="67">
        <f>D15-E15</f>
        <v>0</v>
      </c>
    </row>
    <row r="16" spans="1:7" x14ac:dyDescent="0.25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408</v>
      </c>
      <c r="B17" s="67"/>
      <c r="C17" s="67"/>
      <c r="D17" s="67">
        <v>0</v>
      </c>
      <c r="E17" s="67"/>
      <c r="F17" s="67"/>
      <c r="G17" s="67">
        <f>D17-E17</f>
        <v>0</v>
      </c>
    </row>
    <row r="18" spans="1:7" x14ac:dyDescent="0.25">
      <c r="A18" s="63" t="s">
        <v>409</v>
      </c>
      <c r="B18" s="67"/>
      <c r="C18" s="67"/>
      <c r="D18" s="67">
        <v>0</v>
      </c>
      <c r="E18" s="67"/>
      <c r="F18" s="67"/>
      <c r="G18" s="67">
        <f>D18-E18</f>
        <v>0</v>
      </c>
    </row>
    <row r="19" spans="1:7" x14ac:dyDescent="0.25">
      <c r="A19" s="53" t="s">
        <v>410</v>
      </c>
      <c r="B19" s="67"/>
      <c r="C19" s="67"/>
      <c r="D19" s="67">
        <v>0</v>
      </c>
      <c r="E19" s="67"/>
      <c r="F19" s="67"/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 t="shared" ref="B21:G21" si="3">SUM(B22,B23,B24,B27,B28,B31)</f>
        <v>35758326.950000003</v>
      </c>
      <c r="C21" s="66">
        <f t="shared" si="3"/>
        <v>-18291.57</v>
      </c>
      <c r="D21" s="66">
        <f t="shared" si="3"/>
        <v>35740035.380000003</v>
      </c>
      <c r="E21" s="66">
        <f t="shared" si="3"/>
        <v>22517683.52</v>
      </c>
      <c r="F21" s="66">
        <f t="shared" si="3"/>
        <v>22517683.52</v>
      </c>
      <c r="G21" s="66">
        <f t="shared" si="3"/>
        <v>13222351.860000003</v>
      </c>
    </row>
    <row r="22" spans="1:7" s="24" customFormat="1" x14ac:dyDescent="0.25">
      <c r="A22" s="53" t="s">
        <v>401</v>
      </c>
      <c r="B22" s="154">
        <v>35758326.950000003</v>
      </c>
      <c r="C22" s="154">
        <v>-18291.57</v>
      </c>
      <c r="D22" s="154">
        <v>35740035.380000003</v>
      </c>
      <c r="E22" s="154">
        <v>22517683.52</v>
      </c>
      <c r="F22" s="154">
        <v>22517683.52</v>
      </c>
      <c r="G22" s="67">
        <f>D22-E22</f>
        <v>13222351.860000003</v>
      </c>
    </row>
    <row r="23" spans="1:7" s="24" customFormat="1" x14ac:dyDescent="0.25">
      <c r="A23" s="53" t="s">
        <v>402</v>
      </c>
      <c r="B23" s="67"/>
      <c r="C23" s="67"/>
      <c r="D23" s="67">
        <v>0</v>
      </c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/>
      <c r="C25" s="67"/>
      <c r="D25" s="67">
        <v>0</v>
      </c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>
        <v>0</v>
      </c>
      <c r="E26" s="67"/>
      <c r="F26" s="67"/>
      <c r="G26" s="67">
        <f>D26-E26</f>
        <v>0</v>
      </c>
    </row>
    <row r="27" spans="1:7" s="24" customFormat="1" x14ac:dyDescent="0.25">
      <c r="A27" s="53" t="s">
        <v>406</v>
      </c>
      <c r="B27" s="67"/>
      <c r="C27" s="67"/>
      <c r="D27" s="67">
        <v>0</v>
      </c>
      <c r="E27" s="67"/>
      <c r="F27" s="67"/>
      <c r="G27" s="67">
        <f>D27-E27</f>
        <v>0</v>
      </c>
    </row>
    <row r="28" spans="1:7" s="24" customFormat="1" x14ac:dyDescent="0.25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/>
      <c r="C29" s="67"/>
      <c r="D29" s="67">
        <v>0</v>
      </c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>
        <v>0</v>
      </c>
      <c r="E30" s="67"/>
      <c r="F30" s="67"/>
      <c r="G30" s="67">
        <f>D30-E30</f>
        <v>0</v>
      </c>
    </row>
    <row r="31" spans="1:7" s="24" customFormat="1" x14ac:dyDescent="0.25">
      <c r="A31" s="53" t="s">
        <v>410</v>
      </c>
      <c r="B31" s="67"/>
      <c r="C31" s="67"/>
      <c r="D31" s="67">
        <v>0</v>
      </c>
      <c r="E31" s="67"/>
      <c r="F31" s="67"/>
      <c r="G31" s="67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115455255.04000001</v>
      </c>
      <c r="C33" s="66">
        <f t="shared" si="6"/>
        <v>-48291.57</v>
      </c>
      <c r="D33" s="66">
        <f t="shared" si="6"/>
        <v>115406963.47</v>
      </c>
      <c r="E33" s="66">
        <f t="shared" si="6"/>
        <v>68269582.450000003</v>
      </c>
      <c r="F33" s="66">
        <f t="shared" si="6"/>
        <v>68269582.450000003</v>
      </c>
      <c r="G33" s="66">
        <f t="shared" si="6"/>
        <v>47137381.020000011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2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79696928.090000004</v>
      </c>
      <c r="Q2" s="18">
        <f>'Formato 6 d)'!C9</f>
        <v>-30000</v>
      </c>
      <c r="R2" s="18">
        <f>'Formato 6 d)'!D9</f>
        <v>79666928.090000004</v>
      </c>
      <c r="S2" s="18">
        <f>'Formato 6 d)'!E9</f>
        <v>45751898.93</v>
      </c>
      <c r="T2" s="18">
        <f>'Formato 6 d)'!F9</f>
        <v>45751898.93</v>
      </c>
      <c r="U2" s="18">
        <f>'Formato 6 d)'!G9</f>
        <v>33915029.160000004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79696928.090000004</v>
      </c>
      <c r="Q3" s="18">
        <f>'Formato 6 d)'!C10</f>
        <v>-30000</v>
      </c>
      <c r="R3" s="18">
        <f>'Formato 6 d)'!D10</f>
        <v>79666928.090000004</v>
      </c>
      <c r="S3" s="18">
        <f>'Formato 6 d)'!E10</f>
        <v>45751898.93</v>
      </c>
      <c r="T3" s="18">
        <f>'Formato 6 d)'!F10</f>
        <v>45751898.93</v>
      </c>
      <c r="U3" s="18">
        <f>'Formato 6 d)'!G10</f>
        <v>33915029.160000004</v>
      </c>
      <c r="V3" s="18"/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35758326.950000003</v>
      </c>
      <c r="Q13" s="18">
        <f>'Formato 6 d)'!C21</f>
        <v>-18291.57</v>
      </c>
      <c r="R13" s="18">
        <f>'Formato 6 d)'!D21</f>
        <v>35740035.380000003</v>
      </c>
      <c r="S13" s="18">
        <f>'Formato 6 d)'!E21</f>
        <v>22517683.52</v>
      </c>
      <c r="T13" s="18">
        <f>'Formato 6 d)'!F21</f>
        <v>22517683.52</v>
      </c>
      <c r="U13" s="18">
        <f>'Formato 6 d)'!G21</f>
        <v>13222351.860000003</v>
      </c>
    </row>
    <row r="14" spans="1:25" x14ac:dyDescent="0.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35758326.950000003</v>
      </c>
      <c r="Q14" s="18">
        <f>'Formato 6 d)'!C22</f>
        <v>-18291.57</v>
      </c>
      <c r="R14" s="18">
        <f>'Formato 6 d)'!D22</f>
        <v>35740035.380000003</v>
      </c>
      <c r="S14" s="18">
        <f>'Formato 6 d)'!E22</f>
        <v>22517683.52</v>
      </c>
      <c r="T14" s="18">
        <f>'Formato 6 d)'!F22</f>
        <v>22517683.52</v>
      </c>
      <c r="U14" s="18">
        <f>'Formato 6 d)'!G22</f>
        <v>13222351.860000003</v>
      </c>
    </row>
    <row r="15" spans="1:25" x14ac:dyDescent="0.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115455255.04000001</v>
      </c>
      <c r="Q24" s="18">
        <f>'Formato 6 d)'!C33</f>
        <v>-48291.57</v>
      </c>
      <c r="R24" s="18">
        <f>'Formato 6 d)'!D33</f>
        <v>115406963.47</v>
      </c>
      <c r="S24" s="18">
        <f>'Formato 6 d)'!E33</f>
        <v>68269582.450000003</v>
      </c>
      <c r="T24" s="18">
        <f>'Formato 6 d)'!F33</f>
        <v>68269582.450000003</v>
      </c>
      <c r="U24" s="18">
        <f>'Formato 6 d)'!G33</f>
        <v>47137381.020000011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D15" sqref="D15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80" t="s">
        <v>413</v>
      </c>
      <c r="B1" s="180"/>
      <c r="C1" s="180"/>
      <c r="D1" s="180"/>
      <c r="E1" s="180"/>
      <c r="F1" s="180"/>
      <c r="G1" s="180"/>
    </row>
    <row r="2" spans="1:7" x14ac:dyDescent="0.25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x14ac:dyDescent="0.25">
      <c r="A3" s="165" t="s">
        <v>414</v>
      </c>
      <c r="B3" s="166"/>
      <c r="C3" s="166"/>
      <c r="D3" s="166"/>
      <c r="E3" s="166"/>
      <c r="F3" s="166"/>
      <c r="G3" s="167"/>
    </row>
    <row r="4" spans="1:7" x14ac:dyDescent="0.25">
      <c r="A4" s="165" t="s">
        <v>118</v>
      </c>
      <c r="B4" s="166"/>
      <c r="C4" s="166"/>
      <c r="D4" s="166"/>
      <c r="E4" s="166"/>
      <c r="F4" s="166"/>
      <c r="G4" s="167"/>
    </row>
    <row r="5" spans="1:7" x14ac:dyDescent="0.25">
      <c r="A5" s="165" t="s">
        <v>415</v>
      </c>
      <c r="B5" s="166"/>
      <c r="C5" s="166"/>
      <c r="D5" s="166"/>
      <c r="E5" s="166"/>
      <c r="F5" s="166"/>
      <c r="G5" s="167"/>
    </row>
    <row r="6" spans="1:7" x14ac:dyDescent="0.25">
      <c r="A6" s="177" t="s">
        <v>3288</v>
      </c>
      <c r="B6" s="51">
        <f>ANIO1P</f>
        <v>2019</v>
      </c>
      <c r="C6" s="190" t="str">
        <f>ANIO2P</f>
        <v>2020 (d)</v>
      </c>
      <c r="D6" s="190" t="str">
        <f>ANIO3P</f>
        <v>2021 (d)</v>
      </c>
      <c r="E6" s="190" t="str">
        <f>ANIO4P</f>
        <v>2022 (d)</v>
      </c>
      <c r="F6" s="190" t="str">
        <f>ANIO5P</f>
        <v>2023 (d)</v>
      </c>
      <c r="G6" s="190" t="str">
        <f>ANIO6P</f>
        <v>2024 (d)</v>
      </c>
    </row>
    <row r="7" spans="1:7" ht="48" customHeight="1" x14ac:dyDescent="0.25">
      <c r="A7" s="178"/>
      <c r="B7" s="88" t="s">
        <v>3291</v>
      </c>
      <c r="C7" s="191"/>
      <c r="D7" s="191"/>
      <c r="E7" s="191"/>
      <c r="F7" s="191"/>
      <c r="G7" s="191"/>
    </row>
    <row r="8" spans="1:7" x14ac:dyDescent="0.25">
      <c r="A8" s="52" t="s">
        <v>421</v>
      </c>
      <c r="B8" s="59">
        <f t="shared" ref="B8:G8" si="0">SUM(B9:B20)</f>
        <v>0</v>
      </c>
      <c r="C8" s="59">
        <f t="shared" si="0"/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 t="shared" ref="B22:G22" si="1">SUM(B23:B27)</f>
        <v>0</v>
      </c>
      <c r="C22" s="61">
        <f t="shared" si="1"/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2">B30</f>
        <v>0</v>
      </c>
      <c r="C29" s="61">
        <f t="shared" si="2"/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3">B29+B22+B8</f>
        <v>0</v>
      </c>
      <c r="C32" s="61">
        <f t="shared" si="3"/>
        <v>0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 t="shared" si="3"/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 t="shared" ref="B37:G37" si="4">B36+B35</f>
        <v>0</v>
      </c>
      <c r="C37" s="61">
        <f t="shared" si="4"/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 t="shared" si="4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0</v>
      </c>
      <c r="Q2" s="18">
        <f>'Formato 7 a)'!C8</f>
        <v>0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0</v>
      </c>
      <c r="Q23" s="18">
        <f>'Formato 7 a)'!C32</f>
        <v>0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9" sqref="B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80" t="s">
        <v>451</v>
      </c>
      <c r="B1" s="180"/>
      <c r="C1" s="180"/>
      <c r="D1" s="180"/>
      <c r="E1" s="180"/>
      <c r="F1" s="180"/>
      <c r="G1" s="180"/>
    </row>
    <row r="2" spans="1:7" customFormat="1" x14ac:dyDescent="0.25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customFormat="1" x14ac:dyDescent="0.25">
      <c r="A3" s="165" t="s">
        <v>452</v>
      </c>
      <c r="B3" s="166"/>
      <c r="C3" s="166"/>
      <c r="D3" s="166"/>
      <c r="E3" s="166"/>
      <c r="F3" s="166"/>
      <c r="G3" s="167"/>
    </row>
    <row r="4" spans="1:7" customFormat="1" x14ac:dyDescent="0.25">
      <c r="A4" s="165" t="s">
        <v>118</v>
      </c>
      <c r="B4" s="166"/>
      <c r="C4" s="166"/>
      <c r="D4" s="166"/>
      <c r="E4" s="166"/>
      <c r="F4" s="166"/>
      <c r="G4" s="167"/>
    </row>
    <row r="5" spans="1:7" customFormat="1" x14ac:dyDescent="0.25">
      <c r="A5" s="165" t="s">
        <v>415</v>
      </c>
      <c r="B5" s="166"/>
      <c r="C5" s="166"/>
      <c r="D5" s="166"/>
      <c r="E5" s="166"/>
      <c r="F5" s="166"/>
      <c r="G5" s="167"/>
    </row>
    <row r="6" spans="1:7" customFormat="1" x14ac:dyDescent="0.25">
      <c r="A6" s="192" t="s">
        <v>3142</v>
      </c>
      <c r="B6" s="51">
        <f>ANIO1P</f>
        <v>2019</v>
      </c>
      <c r="C6" s="190" t="str">
        <f>ANIO2P</f>
        <v>2020 (d)</v>
      </c>
      <c r="D6" s="190" t="str">
        <f>ANIO3P</f>
        <v>2021 (d)</v>
      </c>
      <c r="E6" s="190" t="str">
        <f>ANIO4P</f>
        <v>2022 (d)</v>
      </c>
      <c r="F6" s="190" t="str">
        <f>ANIO5P</f>
        <v>2023 (d)</v>
      </c>
      <c r="G6" s="190" t="str">
        <f>ANIO6P</f>
        <v>2024 (d)</v>
      </c>
    </row>
    <row r="7" spans="1:7" customFormat="1" ht="48" customHeight="1" x14ac:dyDescent="0.25">
      <c r="A7" s="193"/>
      <c r="B7" s="88" t="s">
        <v>3291</v>
      </c>
      <c r="C7" s="191"/>
      <c r="D7" s="191"/>
      <c r="E7" s="191"/>
      <c r="F7" s="191"/>
      <c r="G7" s="191"/>
    </row>
    <row r="8" spans="1:7" x14ac:dyDescent="0.25">
      <c r="A8" s="52" t="s">
        <v>453</v>
      </c>
      <c r="B8" s="59">
        <f t="shared" ref="B8:G8" si="0">SUM(B9:B17)</f>
        <v>0</v>
      </c>
      <c r="C8" s="59">
        <f t="shared" si="0"/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 t="shared" ref="B19:G19" si="1">SUM(B20:B28)</f>
        <v>0</v>
      </c>
      <c r="C19" s="61">
        <f t="shared" si="1"/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 t="shared" ref="B30:G30" si="2">B8+B19</f>
        <v>0</v>
      </c>
      <c r="C30" s="61">
        <f t="shared" si="2"/>
        <v>0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0</v>
      </c>
      <c r="Q2" s="18">
        <f>'Formato 7 b)'!C8</f>
        <v>0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0</v>
      </c>
      <c r="Q3" s="18">
        <f>'Formato 7 b)'!C9</f>
        <v>0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0</v>
      </c>
      <c r="Q5" s="18">
        <f>'Formato 7 b)'!C11</f>
        <v>0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0</v>
      </c>
      <c r="Q22" s="18">
        <f>'Formato 7 b)'!C30</f>
        <v>0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85" zoomScaleNormal="85" workbookViewId="0">
      <selection activeCell="B34" sqref="B34:G35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80" t="s">
        <v>466</v>
      </c>
      <c r="B1" s="180"/>
      <c r="C1" s="180"/>
      <c r="D1" s="180"/>
      <c r="E1" s="180"/>
      <c r="F1" s="180"/>
      <c r="G1" s="180"/>
    </row>
    <row r="2" spans="1:7" x14ac:dyDescent="0.25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x14ac:dyDescent="0.25">
      <c r="A3" s="165" t="s">
        <v>467</v>
      </c>
      <c r="B3" s="166"/>
      <c r="C3" s="166"/>
      <c r="D3" s="166"/>
      <c r="E3" s="166"/>
      <c r="F3" s="166"/>
      <c r="G3" s="167"/>
    </row>
    <row r="4" spans="1:7" x14ac:dyDescent="0.25">
      <c r="A4" s="171" t="s">
        <v>118</v>
      </c>
      <c r="B4" s="172"/>
      <c r="C4" s="172"/>
      <c r="D4" s="172"/>
      <c r="E4" s="172"/>
      <c r="F4" s="172"/>
      <c r="G4" s="173"/>
    </row>
    <row r="5" spans="1:7" x14ac:dyDescent="0.25">
      <c r="A5" s="197" t="s">
        <v>3288</v>
      </c>
      <c r="B5" s="195" t="str">
        <f>ANIO5R</f>
        <v>2013 ¹ (c)</v>
      </c>
      <c r="C5" s="195" t="str">
        <f>ANIO4R</f>
        <v>2014 ¹ (c)</v>
      </c>
      <c r="D5" s="195" t="str">
        <f>ANIO3R</f>
        <v>2015 ¹ (c)</v>
      </c>
      <c r="E5" s="195" t="str">
        <f>ANIO2R</f>
        <v>2016 ¹ (c)</v>
      </c>
      <c r="F5" s="195" t="str">
        <f>ANIO1R</f>
        <v>2017 ¹ (c)</v>
      </c>
      <c r="G5" s="51">
        <f>ANIO_INFORME</f>
        <v>2018</v>
      </c>
    </row>
    <row r="6" spans="1:7" ht="32.1" customHeight="1" x14ac:dyDescent="0.25">
      <c r="A6" s="198"/>
      <c r="B6" s="196"/>
      <c r="C6" s="196"/>
      <c r="D6" s="196"/>
      <c r="E6" s="196"/>
      <c r="F6" s="196"/>
      <c r="G6" s="88" t="s">
        <v>3294</v>
      </c>
    </row>
    <row r="7" spans="1:7" x14ac:dyDescent="0.25">
      <c r="A7" s="52" t="s">
        <v>468</v>
      </c>
      <c r="B7" s="59">
        <f t="shared" ref="B7:G7" si="0">SUM(B8:B19)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 t="shared" ref="B31:G31" si="3">B7+B21+B28</f>
        <v>0</v>
      </c>
      <c r="C31" s="61">
        <f t="shared" si="3"/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489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4" t="s">
        <v>3292</v>
      </c>
      <c r="B39" s="194"/>
      <c r="C39" s="194"/>
      <c r="D39" s="194"/>
      <c r="E39" s="194"/>
      <c r="F39" s="194"/>
      <c r="G39" s="194"/>
    </row>
    <row r="40" spans="1:7" ht="15" customHeight="1" x14ac:dyDescent="0.25">
      <c r="A40" s="194" t="s">
        <v>3293</v>
      </c>
      <c r="B40" s="194"/>
      <c r="C40" s="194"/>
      <c r="D40" s="194"/>
      <c r="E40" s="194"/>
      <c r="F40" s="194"/>
      <c r="G40" s="194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0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activeCell="B19" sqref="B19:G27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80" t="s">
        <v>490</v>
      </c>
      <c r="B1" s="180"/>
      <c r="C1" s="180"/>
      <c r="D1" s="180"/>
      <c r="E1" s="180"/>
      <c r="F1" s="180"/>
      <c r="G1" s="180"/>
    </row>
    <row r="2" spans="1:7" x14ac:dyDescent="0.25">
      <c r="A2" s="162" t="str">
        <f>ENTIDAD</f>
        <v>Municipio de San Felipe, Gobierno del Estado de Guanajuato</v>
      </c>
      <c r="B2" s="163"/>
      <c r="C2" s="163"/>
      <c r="D2" s="163"/>
      <c r="E2" s="163"/>
      <c r="F2" s="163"/>
      <c r="G2" s="164"/>
    </row>
    <row r="3" spans="1:7" x14ac:dyDescent="0.25">
      <c r="A3" s="165" t="s">
        <v>491</v>
      </c>
      <c r="B3" s="166"/>
      <c r="C3" s="166"/>
      <c r="D3" s="166"/>
      <c r="E3" s="166"/>
      <c r="F3" s="166"/>
      <c r="G3" s="167"/>
    </row>
    <row r="4" spans="1:7" x14ac:dyDescent="0.25">
      <c r="A4" s="171" t="s">
        <v>118</v>
      </c>
      <c r="B4" s="172"/>
      <c r="C4" s="172"/>
      <c r="D4" s="172"/>
      <c r="E4" s="172"/>
      <c r="F4" s="172"/>
      <c r="G4" s="173"/>
    </row>
    <row r="5" spans="1:7" x14ac:dyDescent="0.25">
      <c r="A5" s="199" t="s">
        <v>3142</v>
      </c>
      <c r="B5" s="195" t="str">
        <f>ANIO5R</f>
        <v>2013 ¹ (c)</v>
      </c>
      <c r="C5" s="195" t="str">
        <f>ANIO4R</f>
        <v>2014 ¹ (c)</v>
      </c>
      <c r="D5" s="195" t="str">
        <f>ANIO3R</f>
        <v>2015 ¹ (c)</v>
      </c>
      <c r="E5" s="195" t="str">
        <f>ANIO2R</f>
        <v>2016 ¹ (c)</v>
      </c>
      <c r="F5" s="195" t="str">
        <f>ANIO1R</f>
        <v>2017 ¹ (c)</v>
      </c>
      <c r="G5" s="51">
        <f>ANIO_INFORME</f>
        <v>2018</v>
      </c>
    </row>
    <row r="6" spans="1:7" ht="32.1" customHeight="1" x14ac:dyDescent="0.25">
      <c r="A6" s="200"/>
      <c r="B6" s="196"/>
      <c r="C6" s="196"/>
      <c r="D6" s="196"/>
      <c r="E6" s="196"/>
      <c r="F6" s="196"/>
      <c r="G6" s="88" t="s">
        <v>3295</v>
      </c>
    </row>
    <row r="7" spans="1:7" x14ac:dyDescent="0.25">
      <c r="A7" s="52" t="s">
        <v>492</v>
      </c>
      <c r="B7" s="59">
        <f t="shared" ref="B7:G7" si="0">SUM(B8:B16)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454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 t="shared" ref="B29:G29" si="2">B7+B18</f>
        <v>0</v>
      </c>
      <c r="C29" s="60">
        <f t="shared" si="2"/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G29" s="60">
        <f t="shared" si="2"/>
        <v>0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94" t="s">
        <v>3292</v>
      </c>
      <c r="B32" s="194"/>
      <c r="C32" s="194"/>
      <c r="D32" s="194"/>
      <c r="E32" s="194"/>
      <c r="F32" s="194"/>
      <c r="G32" s="194"/>
    </row>
    <row r="33" spans="1:7" x14ac:dyDescent="0.25">
      <c r="A33" s="194" t="s">
        <v>3293</v>
      </c>
      <c r="B33" s="194"/>
      <c r="C33" s="194"/>
      <c r="D33" s="194"/>
      <c r="E33" s="194"/>
      <c r="F33" s="194"/>
      <c r="G33" s="194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0</v>
      </c>
      <c r="U2" s="18">
        <f>'Formato 7 d)'!G7</f>
        <v>0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0</v>
      </c>
      <c r="U3" s="18">
        <f>'Formato 7 d)'!G8</f>
        <v>0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0</v>
      </c>
      <c r="U5" s="18">
        <f>'Formato 7 d)'!G10</f>
        <v>0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0</v>
      </c>
      <c r="U22" s="18">
        <f>'Formato 7 d)'!G29</f>
        <v>0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x14ac:dyDescent="0.2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A23" sqref="A23:A24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4" t="s">
        <v>495</v>
      </c>
      <c r="B1" s="174"/>
      <c r="C1" s="174"/>
      <c r="D1" s="174"/>
      <c r="E1" s="174"/>
      <c r="F1" s="174"/>
      <c r="G1" s="111"/>
    </row>
    <row r="2" spans="1:7" x14ac:dyDescent="0.25">
      <c r="A2" s="162" t="str">
        <f>ENTE_PUBLICO</f>
        <v>Municipio de San Felipe, Gobierno del Estado de Guanajuato</v>
      </c>
      <c r="B2" s="163"/>
      <c r="C2" s="163"/>
      <c r="D2" s="163"/>
      <c r="E2" s="163"/>
      <c r="F2" s="164"/>
    </row>
    <row r="3" spans="1:7" x14ac:dyDescent="0.25">
      <c r="A3" s="171" t="s">
        <v>496</v>
      </c>
      <c r="B3" s="172"/>
      <c r="C3" s="172"/>
      <c r="D3" s="172"/>
      <c r="E3" s="172"/>
      <c r="F3" s="173"/>
    </row>
    <row r="4" spans="1:7" ht="30" x14ac:dyDescent="0.2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x14ac:dyDescent="0.2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x14ac:dyDescent="0.2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x14ac:dyDescent="0.25">
      <c r="A13" s="139" t="s">
        <v>509</v>
      </c>
      <c r="B13" s="60"/>
      <c r="C13" s="60"/>
      <c r="D13" s="60"/>
      <c r="E13" s="60"/>
      <c r="F13" s="60"/>
    </row>
    <row r="14" spans="1:7" x14ac:dyDescent="0.2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x14ac:dyDescent="0.25">
      <c r="A17" s="139" t="s">
        <v>509</v>
      </c>
      <c r="B17" s="60"/>
      <c r="C17" s="60"/>
      <c r="D17" s="60"/>
      <c r="E17" s="60"/>
      <c r="F17" s="60"/>
    </row>
    <row r="18" spans="1:6" x14ac:dyDescent="0.2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x14ac:dyDescent="0.25">
      <c r="A22" s="64" t="s">
        <v>515</v>
      </c>
      <c r="B22" s="146"/>
      <c r="C22" s="146"/>
      <c r="D22" s="146"/>
      <c r="E22" s="146"/>
      <c r="F22" s="146"/>
    </row>
    <row r="23" spans="1:6" x14ac:dyDescent="0.2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x14ac:dyDescent="0.25">
      <c r="A25" s="137" t="s">
        <v>518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17283"/>
  <sheetViews>
    <sheetView showGridLines="0" view="pageBreakPreview" topLeftCell="B67" zoomScale="85" zoomScaleNormal="90" zoomScaleSheetLayoutView="85" workbookViewId="0">
      <selection activeCell="B82" sqref="A82:XFD1048576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4" t="s">
        <v>545</v>
      </c>
      <c r="B1" s="174"/>
      <c r="C1" s="174"/>
      <c r="D1" s="174"/>
      <c r="E1" s="174"/>
      <c r="F1" s="174"/>
    </row>
    <row r="2" spans="1:6" x14ac:dyDescent="0.25">
      <c r="A2" s="162" t="str">
        <f>ENTE_PUBLICO_A</f>
        <v>Municipio de San Felipe, Gobierno del Estado de Guanajuato (a)</v>
      </c>
      <c r="B2" s="163"/>
      <c r="C2" s="163"/>
      <c r="D2" s="163"/>
      <c r="E2" s="163"/>
      <c r="F2" s="164"/>
    </row>
    <row r="3" spans="1:6" x14ac:dyDescent="0.25">
      <c r="A3" s="165" t="s">
        <v>117</v>
      </c>
      <c r="B3" s="166"/>
      <c r="C3" s="166"/>
      <c r="D3" s="166"/>
      <c r="E3" s="166"/>
      <c r="F3" s="167"/>
    </row>
    <row r="4" spans="1:6" x14ac:dyDescent="0.25">
      <c r="A4" s="168" t="str">
        <f>PERIODO_INFORME</f>
        <v>Al 31 de diciembre de 2017 y al 30 de septiembre de 2018 (b)</v>
      </c>
      <c r="B4" s="169"/>
      <c r="C4" s="169"/>
      <c r="D4" s="169"/>
      <c r="E4" s="169"/>
      <c r="F4" s="170"/>
    </row>
    <row r="5" spans="1:6" x14ac:dyDescent="0.25">
      <c r="A5" s="171" t="s">
        <v>118</v>
      </c>
      <c r="B5" s="172"/>
      <c r="C5" s="172"/>
      <c r="D5" s="172"/>
      <c r="E5" s="172"/>
      <c r="F5" s="173"/>
    </row>
    <row r="6" spans="1:6" s="3" customFormat="1" ht="30" x14ac:dyDescent="0.25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116012060.56999999</v>
      </c>
      <c r="C9" s="60">
        <f>SUM(C10:C16)</f>
        <v>104918454.85000001</v>
      </c>
      <c r="D9" s="100" t="s">
        <v>54</v>
      </c>
      <c r="E9" s="60">
        <f>SUM(E10:E18)</f>
        <v>2432411.65</v>
      </c>
      <c r="F9" s="60">
        <f>SUM(F10:F18)</f>
        <v>25779919.949999996</v>
      </c>
    </row>
    <row r="10" spans="1:6" x14ac:dyDescent="0.25">
      <c r="A10" s="96" t="s">
        <v>4</v>
      </c>
      <c r="B10" s="60"/>
      <c r="C10" s="60"/>
      <c r="D10" s="101" t="s">
        <v>55</v>
      </c>
      <c r="E10" s="60">
        <v>0</v>
      </c>
      <c r="F10" s="150">
        <v>2002915.23</v>
      </c>
    </row>
    <row r="11" spans="1:6" x14ac:dyDescent="0.25">
      <c r="A11" s="96" t="s">
        <v>5</v>
      </c>
      <c r="B11" s="150">
        <v>89329470.549999997</v>
      </c>
      <c r="C11" s="150">
        <v>34044688.270000003</v>
      </c>
      <c r="D11" s="101" t="s">
        <v>56</v>
      </c>
      <c r="E11" s="150">
        <v>28213.68</v>
      </c>
      <c r="F11" s="150">
        <v>2756516.07</v>
      </c>
    </row>
    <row r="12" spans="1:6" x14ac:dyDescent="0.25">
      <c r="A12" s="96" t="s">
        <v>6</v>
      </c>
      <c r="B12" s="77"/>
      <c r="C12" s="60"/>
      <c r="D12" s="101" t="s">
        <v>57</v>
      </c>
      <c r="E12" s="150">
        <v>861065.69</v>
      </c>
      <c r="F12" s="150">
        <v>13504411.35</v>
      </c>
    </row>
    <row r="13" spans="1:6" x14ac:dyDescent="0.25">
      <c r="A13" s="96" t="s">
        <v>7</v>
      </c>
      <c r="B13" s="150">
        <v>15901945.970000001</v>
      </c>
      <c r="C13" s="150">
        <v>53382036.530000001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150">
        <v>10780644.050000001</v>
      </c>
      <c r="C14" s="150">
        <v>17491730.050000001</v>
      </c>
      <c r="D14" s="101" t="s">
        <v>59</v>
      </c>
      <c r="E14" s="60">
        <v>0</v>
      </c>
      <c r="F14" s="150">
        <v>5009461.3899999997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/>
      <c r="F15" s="60"/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150">
        <v>1325959.4099999999</v>
      </c>
      <c r="F16" s="150">
        <v>2210006.5099999998</v>
      </c>
    </row>
    <row r="17" spans="1:6" x14ac:dyDescent="0.25">
      <c r="A17" s="95" t="s">
        <v>11</v>
      </c>
      <c r="B17" s="150">
        <f>SUM(B18:B24)</f>
        <v>6086284.1500000004</v>
      </c>
      <c r="C17" s="60">
        <f>SUM(C18:C24)</f>
        <v>5329862.93</v>
      </c>
      <c r="D17" s="101" t="s">
        <v>62</v>
      </c>
      <c r="E17" s="60"/>
      <c r="F17" s="60"/>
    </row>
    <row r="18" spans="1:6" x14ac:dyDescent="0.25">
      <c r="A18" s="97" t="s">
        <v>12</v>
      </c>
      <c r="B18" s="150"/>
      <c r="C18" s="150"/>
      <c r="D18" s="101" t="s">
        <v>63</v>
      </c>
      <c r="E18" s="150">
        <v>217172.87</v>
      </c>
      <c r="F18" s="150">
        <v>296609.40000000002</v>
      </c>
    </row>
    <row r="19" spans="1:6" x14ac:dyDescent="0.25">
      <c r="A19" s="97" t="s">
        <v>13</v>
      </c>
      <c r="B19" s="150">
        <v>12688.16</v>
      </c>
      <c r="C19" s="150">
        <v>17017.64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50">
        <v>4110945.9</v>
      </c>
      <c r="C20" s="150">
        <v>4034845.9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150">
        <v>84000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/>
      <c r="C22" s="60"/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150"/>
      <c r="C23" s="15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1878650.09</v>
      </c>
      <c r="C24" s="60">
        <v>1277999.3899999999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28611260.830000002</v>
      </c>
      <c r="C25" s="60">
        <f>SUM(C26:C30)</f>
        <v>40022235.579999998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150">
        <v>1238727.06</v>
      </c>
      <c r="C26" s="150">
        <v>710426.39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150">
        <v>1238991.08</v>
      </c>
      <c r="C27" s="15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/>
      <c r="C28" s="60"/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150">
        <v>26133542.690000001</v>
      </c>
      <c r="C29" s="150">
        <v>38072818.109999999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150709605.55000001</v>
      </c>
      <c r="C47" s="61">
        <f>C9+C17+C25+C31+C38+C41</f>
        <v>150270553.36000001</v>
      </c>
      <c r="D47" s="99" t="s">
        <v>91</v>
      </c>
      <c r="E47" s="61">
        <f>E9+E19+E23+E26+E27+E31+E38+E42</f>
        <v>2432411.65</v>
      </c>
      <c r="F47" s="61">
        <f>F9+F19+F23+F26+F27+F31+F38+F42</f>
        <v>25779919.949999996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50">
        <v>578307472.38999999</v>
      </c>
      <c r="C52" s="150">
        <v>540675456.25999999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50">
        <v>57370425.270000003</v>
      </c>
      <c r="C53" s="150">
        <v>50748763.170000002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50">
        <v>1271622.03</v>
      </c>
      <c r="C54" s="150">
        <v>1063854.43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50">
        <v>-29324929.449999999</v>
      </c>
      <c r="C55" s="150">
        <v>-29324929.449999999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50">
        <v>41621.93</v>
      </c>
      <c r="C56" s="15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2432411.65</v>
      </c>
      <c r="F59" s="61">
        <f>F47+F57</f>
        <v>25779919.949999996</v>
      </c>
    </row>
    <row r="60" spans="1:6" x14ac:dyDescent="0.25">
      <c r="A60" s="55" t="s">
        <v>50</v>
      </c>
      <c r="B60" s="61">
        <f>SUM(B50:B58)</f>
        <v>607666212.16999984</v>
      </c>
      <c r="C60" s="61">
        <f>SUM(C50:C58)</f>
        <v>563204766.33999979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758375817.71999979</v>
      </c>
      <c r="C62" s="61">
        <f>SUM(C47+C60)</f>
        <v>713475319.69999981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73903315.670000002</v>
      </c>
      <c r="F63" s="77">
        <f>SUM(F64:F66)</f>
        <v>73903315.670000002</v>
      </c>
    </row>
    <row r="64" spans="1:6" x14ac:dyDescent="0.25">
      <c r="A64" s="54"/>
      <c r="B64" s="54"/>
      <c r="C64" s="54"/>
      <c r="D64" s="103" t="s">
        <v>103</v>
      </c>
      <c r="E64" s="155">
        <v>73565942.670000002</v>
      </c>
      <c r="F64" s="155">
        <v>73565942.670000002</v>
      </c>
    </row>
    <row r="65" spans="1:6" x14ac:dyDescent="0.25">
      <c r="A65" s="54"/>
      <c r="B65" s="54"/>
      <c r="C65" s="54"/>
      <c r="D65" s="41" t="s">
        <v>104</v>
      </c>
      <c r="E65" s="155">
        <v>337373</v>
      </c>
      <c r="F65" s="155">
        <v>337373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682040090.39999998</v>
      </c>
      <c r="F68" s="77">
        <f>SUM(F69:F73)</f>
        <v>613792084.08000004</v>
      </c>
    </row>
    <row r="69" spans="1:6" x14ac:dyDescent="0.25">
      <c r="A69" s="12"/>
      <c r="B69" s="54"/>
      <c r="C69" s="54"/>
      <c r="D69" s="103" t="s">
        <v>107</v>
      </c>
      <c r="E69" s="155">
        <v>146425201.97999999</v>
      </c>
      <c r="F69" s="155">
        <v>147457834.53999999</v>
      </c>
    </row>
    <row r="70" spans="1:6" x14ac:dyDescent="0.25">
      <c r="A70" s="12"/>
      <c r="B70" s="54"/>
      <c r="C70" s="54"/>
      <c r="D70" s="103" t="s">
        <v>108</v>
      </c>
      <c r="E70" s="155">
        <v>535573443.92000002</v>
      </c>
      <c r="F70" s="155">
        <v>466292805.04000002</v>
      </c>
    </row>
    <row r="71" spans="1:6" x14ac:dyDescent="0.25">
      <c r="A71" s="12"/>
      <c r="B71" s="54"/>
      <c r="C71" s="54"/>
      <c r="D71" s="103" t="s">
        <v>109</v>
      </c>
      <c r="E71" s="155">
        <v>41444.5</v>
      </c>
      <c r="F71" s="155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755943406.06999993</v>
      </c>
      <c r="F79" s="61">
        <f>F63+F68+F75</f>
        <v>687695399.75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758375817.71999991</v>
      </c>
      <c r="F81" s="61">
        <f>F59+F79</f>
        <v>713475319.70000005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rintOptions horizontalCentered="1"/>
  <pageMargins left="0.15748031496062992" right="0.15748031496062992" top="0.23622047244094491" bottom="0.15748031496062992" header="0.23622047244094491" footer="0.31496062992125984"/>
  <pageSetup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116012060.56999999</v>
      </c>
      <c r="Q4" s="18">
        <f>'Formato 1'!C9</f>
        <v>104918454.85000001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89329470.549999997</v>
      </c>
      <c r="Q6" s="18">
        <f>'Formato 1'!C11</f>
        <v>34044688.270000003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15901945.970000001</v>
      </c>
      <c r="Q8" s="18">
        <f>'Formato 1'!C13</f>
        <v>53382036.530000001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10780644.050000001</v>
      </c>
      <c r="Q9" s="18">
        <f>'Formato 1'!C14</f>
        <v>17491730.050000001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6086284.1500000004</v>
      </c>
      <c r="Q12" s="18">
        <f>'Formato 1'!C17</f>
        <v>5329862.93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12688.16</v>
      </c>
      <c r="Q14" s="18">
        <f>'Formato 1'!C19</f>
        <v>17017.64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4110945.9</v>
      </c>
      <c r="Q15" s="18">
        <f>'Formato 1'!C20</f>
        <v>4034845.9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84000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1878650.09</v>
      </c>
      <c r="Q19" s="18">
        <f>'Formato 1'!C24</f>
        <v>1277999.3899999999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28611260.830000002</v>
      </c>
      <c r="Q20" s="18">
        <f>'Formato 1'!C25</f>
        <v>40022235.579999998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1238727.06</v>
      </c>
      <c r="Q21" s="18">
        <f>'Formato 1'!C26</f>
        <v>710426.39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26133542.690000001</v>
      </c>
      <c r="Q24" s="18">
        <f>'Formato 1'!C29</f>
        <v>38072818.109999999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150709605.55000001</v>
      </c>
      <c r="Q42" s="18">
        <f>'Formato 1'!C47</f>
        <v>150270553.36000001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578307472.38999999</v>
      </c>
      <c r="Q46">
        <f>'Formato 1'!C52</f>
        <v>540675456.25999999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57370425.270000003</v>
      </c>
      <c r="Q47">
        <f>'Formato 1'!C53</f>
        <v>50748763.170000002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1271622.03</v>
      </c>
      <c r="Q48">
        <f>'Formato 1'!C54</f>
        <v>1063854.43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-29324929.449999999</v>
      </c>
      <c r="Q49">
        <f>'Formato 1'!C55</f>
        <v>-29324929.449999999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607666212.16999984</v>
      </c>
      <c r="Q53">
        <f>'Formato 1'!C60</f>
        <v>563204766.33999979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758375817.71999979</v>
      </c>
      <c r="Q54">
        <f>'Formato 1'!C62</f>
        <v>713475319.69999981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2432411.65</v>
      </c>
      <c r="Q57">
        <f>'Formato 1'!F9</f>
        <v>25779919.949999996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2002915.23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28213.68</v>
      </c>
      <c r="Q59">
        <f>'Formato 1'!F11</f>
        <v>2756516.07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861065.69</v>
      </c>
      <c r="Q60">
        <f>'Formato 1'!F12</f>
        <v>13504411.35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5009461.3899999997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1325959.4099999999</v>
      </c>
      <c r="Q64">
        <f>'Formato 1'!F16</f>
        <v>2210006.5099999998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217172.87</v>
      </c>
      <c r="Q66">
        <f>'Formato 1'!F18</f>
        <v>296609.40000000002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2432411.65</v>
      </c>
      <c r="Q95">
        <f>'Formato 1'!F47</f>
        <v>25779919.949999996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2432411.65</v>
      </c>
      <c r="Q104">
        <f>'Formato 1'!F59</f>
        <v>25779919.949999996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73903315.670000002</v>
      </c>
      <c r="Q106">
        <f>'Formato 1'!F63</f>
        <v>73903315.670000002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73565942.670000002</v>
      </c>
      <c r="Q107">
        <f>'Formato 1'!F64</f>
        <v>73565942.670000002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337373</v>
      </c>
      <c r="Q108">
        <f>'Formato 1'!F65</f>
        <v>337373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682040090.39999998</v>
      </c>
      <c r="Q110">
        <f>'Formato 1'!F68</f>
        <v>613792084.08000004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146425201.97999999</v>
      </c>
      <c r="Q111">
        <f>'Formato 1'!F69</f>
        <v>147457834.53999999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535573443.92000002</v>
      </c>
      <c r="Q112">
        <f>'Formato 1'!F70</f>
        <v>466292805.04000002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755943406.06999993</v>
      </c>
      <c r="Q119">
        <f>'Formato 1'!F79</f>
        <v>687695399.75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758375817.71999991</v>
      </c>
      <c r="Q120">
        <f>'Formato 1'!F81</f>
        <v>713475319.70000005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view="pageBreakPreview" topLeftCell="A22" zoomScale="80" zoomScaleNormal="90" zoomScaleSheetLayoutView="80" workbookViewId="0">
      <selection activeCell="G18" sqref="G18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6" t="s">
        <v>544</v>
      </c>
      <c r="B1" s="176"/>
      <c r="C1" s="176"/>
      <c r="D1" s="176"/>
      <c r="E1" s="176"/>
      <c r="F1" s="176"/>
      <c r="G1" s="176"/>
      <c r="H1" s="176"/>
    </row>
    <row r="2" spans="1:9" x14ac:dyDescent="0.25">
      <c r="A2" s="162" t="str">
        <f>ENTE_PUBLICO_A</f>
        <v>Municipio de San Felipe, Gobierno del Estado de Guanajuato (a)</v>
      </c>
      <c r="B2" s="163"/>
      <c r="C2" s="163"/>
      <c r="D2" s="163"/>
      <c r="E2" s="163"/>
      <c r="F2" s="163"/>
      <c r="G2" s="163"/>
      <c r="H2" s="164"/>
    </row>
    <row r="3" spans="1:9" x14ac:dyDescent="0.25">
      <c r="A3" s="165" t="s">
        <v>120</v>
      </c>
      <c r="B3" s="166"/>
      <c r="C3" s="166"/>
      <c r="D3" s="166"/>
      <c r="E3" s="166"/>
      <c r="F3" s="166"/>
      <c r="G3" s="166"/>
      <c r="H3" s="167"/>
    </row>
    <row r="4" spans="1:9" x14ac:dyDescent="0.25">
      <c r="A4" s="168" t="str">
        <f>PERIODO_INFORME</f>
        <v>Al 31 de diciembre de 2017 y al 30 de septiembre de 2018 (b)</v>
      </c>
      <c r="B4" s="169"/>
      <c r="C4" s="169"/>
      <c r="D4" s="169"/>
      <c r="E4" s="169"/>
      <c r="F4" s="169"/>
      <c r="G4" s="169"/>
      <c r="H4" s="170"/>
    </row>
    <row r="5" spans="1:9" x14ac:dyDescent="0.25">
      <c r="A5" s="171" t="s">
        <v>118</v>
      </c>
      <c r="B5" s="172"/>
      <c r="C5" s="172"/>
      <c r="D5" s="172"/>
      <c r="E5" s="172"/>
      <c r="F5" s="172"/>
      <c r="G5" s="172"/>
      <c r="H5" s="173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-25779919.949999999</v>
      </c>
      <c r="C18" s="132"/>
      <c r="D18" s="132"/>
      <c r="E18" s="132"/>
      <c r="F18" s="61">
        <v>1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-25779919.949999999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5" t="s">
        <v>3300</v>
      </c>
      <c r="B33" s="175"/>
      <c r="C33" s="175"/>
      <c r="D33" s="175"/>
      <c r="E33" s="175"/>
      <c r="F33" s="175"/>
      <c r="G33" s="175"/>
      <c r="H33" s="175"/>
    </row>
    <row r="34" spans="1:8" ht="12" customHeight="1" x14ac:dyDescent="0.25">
      <c r="A34" s="175"/>
      <c r="B34" s="175"/>
      <c r="C34" s="175"/>
      <c r="D34" s="175"/>
      <c r="E34" s="175"/>
      <c r="F34" s="175"/>
      <c r="G34" s="175"/>
      <c r="H34" s="175"/>
    </row>
    <row r="35" spans="1:8" ht="12" customHeight="1" x14ac:dyDescent="0.25">
      <c r="A35" s="175"/>
      <c r="B35" s="175"/>
      <c r="C35" s="175"/>
      <c r="D35" s="175"/>
      <c r="E35" s="175"/>
      <c r="F35" s="175"/>
      <c r="G35" s="175"/>
      <c r="H35" s="175"/>
    </row>
    <row r="36" spans="1:8" ht="12" customHeight="1" x14ac:dyDescent="0.25">
      <c r="A36" s="175"/>
      <c r="B36" s="175"/>
      <c r="C36" s="175"/>
      <c r="D36" s="175"/>
      <c r="E36" s="175"/>
      <c r="F36" s="175"/>
      <c r="G36" s="175"/>
      <c r="H36" s="175"/>
    </row>
    <row r="37" spans="1:8" ht="12" customHeight="1" x14ac:dyDescent="0.25">
      <c r="A37" s="175"/>
      <c r="B37" s="175"/>
      <c r="C37" s="175"/>
      <c r="D37" s="175"/>
      <c r="E37" s="175"/>
      <c r="F37" s="175"/>
      <c r="G37" s="175"/>
      <c r="H37" s="175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rintOptions horizontalCentered="1"/>
  <pageMargins left="0.15748031496062992" right="0.15748031496062992" top="0.74803149606299213" bottom="0.74803149606299213" header="0.31496062992125984" footer="0.31496062992125984"/>
  <pageSetup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-25779919.949999999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-25779919.949999999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si="0"/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view="pageBreakPreview" zoomScale="55" zoomScaleNormal="85" zoomScaleSheetLayoutView="55" workbookViewId="0">
      <selection activeCell="C13" sqref="C13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4" t="s">
        <v>543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11"/>
    </row>
    <row r="2" spans="1:12" x14ac:dyDescent="0.25">
      <c r="A2" s="162" t="str">
        <f>ENTE_PUBLICO_A</f>
        <v>Municipio de San Felipe, Gobierno del Estado de Guanajuato (a)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2" x14ac:dyDescent="0.25">
      <c r="A3" s="165" t="s">
        <v>146</v>
      </c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2" x14ac:dyDescent="0.25">
      <c r="A4" s="168" t="str">
        <f>TRIMESTRE</f>
        <v>Del 1 de enero al 30 de septiembre de 2018 (b)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2" x14ac:dyDescent="0.25">
      <c r="A5" s="165" t="s">
        <v>118</v>
      </c>
      <c r="B5" s="166"/>
      <c r="C5" s="166"/>
      <c r="D5" s="166"/>
      <c r="E5" s="166"/>
      <c r="F5" s="166"/>
      <c r="G5" s="166"/>
      <c r="H5" s="166"/>
      <c r="I5" s="166"/>
      <c r="J5" s="166"/>
      <c r="K5" s="167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septiembre de 2018 (k)</v>
      </c>
      <c r="J6" s="131" t="str">
        <f>MONTO2</f>
        <v>Monto pagado de la inversión actualizado al 30 de septiembre de 2018 (l)</v>
      </c>
      <c r="K6" s="131" t="str">
        <f>SALDO_PENDIENTE</f>
        <v>Saldo pendiente por pagar de la inversión al 30 de septiembre de 2018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43120</v>
      </c>
      <c r="C9" s="112">
        <v>43120</v>
      </c>
      <c r="D9" s="112">
        <v>43120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43120</v>
      </c>
      <c r="C10" s="112">
        <v>43120</v>
      </c>
      <c r="D10" s="112">
        <v>43120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>E10-J10</f>
        <v>0</v>
      </c>
    </row>
    <row r="11" spans="1:12" s="24" customFormat="1" x14ac:dyDescent="0.25">
      <c r="A11" s="114" t="s">
        <v>158</v>
      </c>
      <c r="B11" s="112">
        <v>43120</v>
      </c>
      <c r="C11" s="112">
        <v>43120</v>
      </c>
      <c r="D11" s="112">
        <v>43120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>E11-J11</f>
        <v>0</v>
      </c>
    </row>
    <row r="12" spans="1:12" s="24" customFormat="1" x14ac:dyDescent="0.25">
      <c r="A12" s="114" t="s">
        <v>159</v>
      </c>
      <c r="B12" s="112">
        <v>43120</v>
      </c>
      <c r="C12" s="112">
        <v>43120</v>
      </c>
      <c r="D12" s="112">
        <v>43120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>E12-J12</f>
        <v>0</v>
      </c>
    </row>
    <row r="13" spans="1:12" x14ac:dyDescent="0.2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43120</v>
      </c>
      <c r="C15" s="112">
        <v>43120</v>
      </c>
      <c r="D15" s="112">
        <v>43120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43120</v>
      </c>
      <c r="C16" s="112">
        <v>43120</v>
      </c>
      <c r="D16" s="112">
        <v>43120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>E16-J16</f>
        <v>0</v>
      </c>
    </row>
    <row r="17" spans="1:11" s="24" customFormat="1" x14ac:dyDescent="0.25">
      <c r="A17" s="114" t="s">
        <v>163</v>
      </c>
      <c r="B17" s="112">
        <v>43120</v>
      </c>
      <c r="C17" s="112">
        <v>43120</v>
      </c>
      <c r="D17" s="112">
        <v>43120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>E17-J17</f>
        <v>0</v>
      </c>
    </row>
    <row r="18" spans="1:11" s="24" customFormat="1" x14ac:dyDescent="0.25">
      <c r="A18" s="114" t="s">
        <v>164</v>
      </c>
      <c r="B18" s="112">
        <v>43120</v>
      </c>
      <c r="C18" s="112">
        <v>43120</v>
      </c>
      <c r="D18" s="112">
        <v>43120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>E18-J18</f>
        <v>0</v>
      </c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rintOptions horizontalCentered="1"/>
  <pageMargins left="0.15748031496062992" right="0.15748031496062992" top="0.74803149606299213" bottom="0.74803149606299213" header="0.31496062992125984" footer="0.31496062992125984"/>
  <pageSetup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200</vt:i4>
      </vt:variant>
    </vt:vector>
  </HeadingPairs>
  <TitlesOfParts>
    <vt:vector size="231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'Formato 1'!Área_de_impresión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2018-10-06T20:59:52Z</cp:lastPrinted>
  <dcterms:created xsi:type="dcterms:W3CDTF">2017-01-19T17:59:06Z</dcterms:created>
  <dcterms:modified xsi:type="dcterms:W3CDTF">2018-10-06T22:36:30Z</dcterms:modified>
</cp:coreProperties>
</file>